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Londrina" sheetId="4" state="visible" r:id="rId6"/>
    <sheet name="Desl. Base Londrina" sheetId="5" state="visible" r:id="rId7"/>
    <sheet name="Base Guarapuava" sheetId="6" state="visible" r:id="rId8"/>
    <sheet name="Desl. Base Guarapuava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5" name="_xlnm.Print_Area" vbProcedure="false">'Base Guarapuava'!$B$2:$AW$24</definedName>
    <definedName function="false" hidden="false" localSheetId="3" name="_xlnm.Print_Area" vbProcedure="false">'Base Londrina'!$B$2:$AW$26</definedName>
    <definedName function="false" hidden="false" localSheetId="13" name="_xlnm.Print_Area" vbProcedure="false">BDI!$B$1:$J$44</definedName>
    <definedName function="false" hidden="false" localSheetId="6" name="_xlnm.Print_Area" vbProcedure="false">'Desl. Base Guarapuava'!$B$2:$M$35</definedName>
    <definedName function="false" hidden="false" localSheetId="4" name="_xlnm.Print_Area" vbProcedure="false">'Desl. Base Londrina'!$B$2:$M$35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Unidades!$B$2:$H$18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<sst xmlns="http://schemas.openxmlformats.org/spreadsheetml/2006/main" count="831" uniqueCount="331">
  <si>
    <t xml:space="preserve">ANEXO I – B13</t>
  </si>
  <si>
    <t xml:space="preserve">PLANILHA DETALHADA DE FORMAÇÃO DE PREÇO</t>
  </si>
  <si>
    <t xml:space="preserve">POLO II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</si>
  <si>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</si>
  <si>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</si>
  <si>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</si>
  <si>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</si>
  <si>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</si>
  <si>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</si>
  <si>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ANUAL (R$)</t>
  </si>
  <si>
    <t xml:space="preserve">Serviço de manutenção predial preventiva e corretiva por demanda, com fornecimento de materiais, peças e componentes, nos imóveis relacionados no Polo Regional II.</t>
  </si>
  <si>
    <t xml:space="preserve">Mês</t>
  </si>
  <si>
    <t xml:space="preserve">VALOR TOTAL DO ITEM 2: R$ 1.660.181,04 (um milhão, seiscentos e sessenta mil, cento e oitenta e um reais e quatro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</si>
  <si>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</si>
  <si>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</si>
  <si>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</si>
  <si>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</si>
  <si>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</si>
  <si>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</si>
  <si>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</si>
  <si>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</si>
  <si>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LONDRINA</t>
  </si>
  <si>
    <t xml:space="preserve">GUARAPUAVA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</si>
  <si>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</si>
  <si>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</si>
  <si>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</si>
  <si>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</si>
  <si>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</si>
  <si>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</si>
  <si>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</si>
  <si>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</si>
  <si>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</si>
  <si>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</si>
  <si>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</si>
  <si>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</si>
  <si>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</si>
  <si>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</si>
  <si>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Outubro/2023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</si>
  <si>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</si>
  <si>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</si>
  <si>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</si>
  <si>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</si>
  <si>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</si>
  <si>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</si>
  <si>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</si>
  <si>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</si>
  <si>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</si>
  <si>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</si>
  <si>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</si>
  <si>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</si>
  <si>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</si>
  <si>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</si>
  <si>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</si>
  <si>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</si>
  <si>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</si>
  <si>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</si>
  <si>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</si>
  <si>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</si>
  <si>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</si>
  <si>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</si>
  <si>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</si>
  <si>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</si>
  <si>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</si>
  <si>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</si>
  <si>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</si>
  <si>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</si>
  <si>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</si>
  <si>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</si>
  <si>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</si>
  <si>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</si>
  <si>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</si>
  <si>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</si>
  <si>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</si>
  <si>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</si>
  <si>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Manunteção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</si>
  <si>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</si>
  <si>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</si>
  <si>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</si>
  <si>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</si>
  <si>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</si>
  <si>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</si>
  <si>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ADJ LONDRINA</t>
  </si>
  <si>
    <t xml:space="preserve">Custo por tipo de rotina</t>
  </si>
  <si>
    <t xml:space="preserve">APS ANDIRÁ</t>
  </si>
  <si>
    <t xml:space="preserve">Custo Anual por tipo de rotina</t>
  </si>
  <si>
    <t xml:space="preserve">APS APUCARANA</t>
  </si>
  <si>
    <t xml:space="preserve">APS ARAPONGAS</t>
  </si>
  <si>
    <t xml:space="preserve">APS BANDEIRANTES</t>
  </si>
  <si>
    <t xml:space="preserve">Custo Anual Preventiva</t>
  </si>
  <si>
    <t xml:space="preserve">APS CAMBARÁ</t>
  </si>
  <si>
    <t xml:space="preserve">APS CAMBÉ</t>
  </si>
  <si>
    <t xml:space="preserve">Custo Anual Corretiva</t>
  </si>
  <si>
    <t xml:space="preserve">APS CORNÉLIO PROCÓPIO</t>
  </si>
  <si>
    <t xml:space="preserve">Custo Médio Mensal Manutenção</t>
  </si>
  <si>
    <t xml:space="preserve">APS JACAREZINHO</t>
  </si>
  <si>
    <t xml:space="preserve">Custo Anual Manutenção</t>
  </si>
  <si>
    <t xml:space="preserve">APS LONDRINA-CENTRO</t>
  </si>
  <si>
    <t xml:space="preserve">APS LONDRINA-SHANGRILÁ</t>
  </si>
  <si>
    <t xml:space="preserve">APS ROLÂNDIA</t>
  </si>
  <si>
    <t xml:space="preserve">APS SANTO ANTÔNIO DA PLATINA</t>
  </si>
  <si>
    <t xml:space="preserve">GEX LONDRINA</t>
  </si>
  <si>
    <t xml:space="preserve">APS IBAITI</t>
  </si>
  <si>
    <t xml:space="preserve">TOTAL</t>
  </si>
  <si>
    <t xml:space="preserve">Oficial de Manutenção Predial</t>
  </si>
  <si>
    <t xml:space="preserve">Ajudante (ref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</si>
  <si>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</si>
  <si>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</si>
  <si>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</si>
  <si>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</si>
  <si>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</si>
  <si>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</si>
  <si>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</si>
  <si>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</si>
  <si>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</si>
  <si>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</si>
  <si>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</si>
  <si>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</si>
  <si>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</si>
  <si>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</si>
  <si>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</si>
  <si>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</si>
  <si>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 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</si>
  <si>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</si>
  <si>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</si>
  <si>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</si>
  <si>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</si>
  <si>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</si>
  <si>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</si>
  <si>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</si>
  <si>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</si>
  <si>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</si>
  <si>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</si>
  <si>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</si>
  <si>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</si>
  <si>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</si>
  <si>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Preços pesquisados em 20/10/2023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</si>
  <si>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</si>
  <si>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</si>
  <si>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</si>
  <si>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</si>
  <si>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Agosto/2023.</t>
  </si>
  <si>
    <t xml:space="preserve">APS IVAIPORÃ</t>
  </si>
  <si>
    <t xml:space="preserve">APS GUARAPUAVA</t>
  </si>
  <si>
    <t xml:space="preserve">APS LARANJEIRAS DO SUL</t>
  </si>
  <si>
    <t xml:space="preserve">APS PINHÃO</t>
  </si>
  <si>
    <t xml:space="preserve">APS PITANGA</t>
  </si>
  <si>
    <t xml:space="preserve">APS TELÊMACO BORBA</t>
  </si>
  <si>
    <t xml:space="preserve">APS PRUDENTÓPOLIS</t>
  </si>
  <si>
    <t xml:space="preserve">APS IMBITUVA</t>
  </si>
  <si>
    <t xml:space="preserve">APS JAGUARIAIVA</t>
  </si>
  <si>
    <t xml:space="preserve">APS ARAPOTI</t>
  </si>
  <si>
    <t xml:space="preserve">Pedágio (ida e volta)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</si>
  <si>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</si>
  <si>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</si>
  <si>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</si>
  <si>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</si>
  <si>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</si>
  <si>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</si>
  <si>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09/2023</t>
  </si>
  <si>
    <t xml:space="preserve">Estado</t>
  </si>
  <si>
    <t xml:space="preserve">Paraná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</si>
  <si>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</si>
  <si>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</si>
  <si>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</si>
  <si>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</si>
  <si>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</si>
  <si>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</si>
  <si>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</si>
  <si>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</si>
  <si>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</si>
  <si>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1,0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</si>
  <si>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</si>
  <si>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</si>
  <si>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</si>
  <si>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</si>
  <si>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</si>
  <si>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</si>
  <si>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</si>
  <si>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</si>
  <si>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</si>
  <si>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</si>
  <si>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</si>
  <si>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PARANÁ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</si>
  <si>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</si>
  <si>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</si>
  <si>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</si>
  <si>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</si>
  <si>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</si>
  <si>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</si>
  <si>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</si>
  <si>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16: Encargos Sociais – Paraná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</si>
  <si>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</si>
  <si>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</si>
  <si>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</si>
  <si>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</si>
  <si>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</si>
  <si>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Fonte: Livro SINAPI: Referências para Custos Horários e Encargos: Sistema Nacional de Pesquisa de Custos e Índices da Construção Civil / Caixa Econômica Federal. – 5ª Ed. – Brasília: CAIXA, 2022.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</si>
  <si>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</si>
  <si>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</si>
  <si>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</si>
  <si>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10/2023</t>
  </si>
  <si>
    <t xml:space="preserve">SEDI - SERVIÇOS DIVERSOS</t>
  </si>
  <si>
    <t xml:space="preserve">Valor Unitário Não Desonerado</t>
  </si>
  <si>
    <t xml:space="preserve">I</t>
  </si>
  <si>
    <t xml:space="preserve">23688/SBC</t>
  </si>
  <si>
    <t xml:space="preserve">CURSO DE CAPACITACAO PARA ENGENHEIRO ELETRICISTA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</si>
  <si>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</si>
  <si>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</si>
  <si>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</si>
  <si>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</si>
  <si>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</si>
  <si>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</si>
  <si>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1,14</t>
  </si>
  <si>
    <t xml:space="preserve"> 00037373 </t>
  </si>
  <si>
    <t xml:space="preserve">SEGURO - HORISTA (COLETADO CAIXA - ENCARGOS COMPLEMENTARES)</t>
  </si>
  <si>
    <t xml:space="preserve">Taxas</t>
  </si>
  <si>
    <t xml:space="preserve">0,07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</si>
  <si>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</si>
  <si>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</si>
  <si>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</si>
  <si>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0,01</t>
  </si>
  <si>
    <t xml:space="preserve"> 00043486 </t>
  </si>
  <si>
    <t xml:space="preserve">EPI - FAMILIA ENGENHEIRO CIVIL - HORISTA (ENCARGOS COMPLEMENTARES - COLETADO CAIXA)</t>
  </si>
  <si>
    <t xml:space="preserve">0,71</t>
  </si>
  <si>
    <t xml:space="preserve">Categoria</t>
  </si>
  <si>
    <t xml:space="preserve">Profissional (*)</t>
  </si>
  <si>
    <t xml:space="preserve">Convenção coletiva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</si>
  <si>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PR001817/2022 + PR001837/2023</t>
    </r>
  </si>
  <si>
    <t xml:space="preserve">Abrangência</t>
  </si>
  <si>
    <t xml:space="preserve">Trabalhadores das indústrias da construção civil de Curitiba/PR e região</t>
  </si>
  <si>
    <t xml:space="preserve">Salário base (SB)</t>
  </si>
  <si>
    <t xml:space="preserve">Encargos Sociais (**) - (ES)
Apêndice 16: Encargos Sociais – Paraná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</si>
  <si>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</si>
  <si>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</si>
  <si>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</si>
  <si>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</si>
  <si>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0"/>
        <rFont val="Arial"/>
        <family val="2"/>
        <charset val="1"/>
      </rPr>
      <t xml:space="preserve">))</t>
    </r>
  </si>
  <si>
    <r>
      <rPr>
        <sz val="10"/>
        <rFont val="Arial"/>
        <family val="2"/>
        <charset val="1"/>
      </rPr>
      <t xml:space="preserve">Horista Desonerado (****) - (H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=M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0"/>
        <rFont val="Arial"/>
        <family val="2"/>
        <charset val="1"/>
      </rPr>
      <t xml:space="preserve">(1+</t>
    </r>
  </si>
  <si>
    <r>
      <rPr>
        <sz val="1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</si>
  <si>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</si>
  <si>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</si>
  <si>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</si>
  <si>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</si>
  <si>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</si>
  <si>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</si>
  <si>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</si>
  <si>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</si>
  <si>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</si>
  <si>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SC001231/2023 /</t>
    </r>
    <r>
      <rPr>
        <sz val="10"/>
        <color rgb="FF000000"/>
        <rFont val="Arial"/>
        <family val="1"/>
        <charset val="1"/>
      </rPr>
      <t xml:space="preserve"> CBO 5413-25)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</si>
  <si>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</si>
  <si>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</si>
  <si>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</si>
  <si>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</si>
  <si>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</si>
  <si>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</si>
  <si>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</si>
  <si>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</si>
  <si>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</si>
  <si>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</si>
  <si>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</si>
  <si>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</si>
  <si>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</si>
  <si>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</si>
  <si>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</si>
  <si>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</si>
  <si>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Av. Bandeirantes, 500</t>
  </si>
  <si>
    <t xml:space="preserve">NÃO</t>
  </si>
  <si>
    <t xml:space="preserve">Rua Minas Gerais, 385</t>
  </si>
  <si>
    <t xml:space="preserve">Rua Firman Neto, 201</t>
  </si>
  <si>
    <t xml:space="preserve">SIM</t>
  </si>
  <si>
    <t xml:space="preserve">Rua Harpia/Esquina com a Rua Flamingo, S/N</t>
  </si>
  <si>
    <t xml:space="preserve">Av. Edelina Meneghel Rando, 351</t>
  </si>
  <si>
    <t xml:space="preserve">Rua Domingos Vilas, 1034</t>
  </si>
  <si>
    <t xml:space="preserve">Av. Brasil, 138</t>
  </si>
  <si>
    <t xml:space="preserve">Rua Presidente Castelo Branco, 210</t>
  </si>
  <si>
    <t xml:space="preserve">Rua Don Fernando Taddey, 1288</t>
  </si>
  <si>
    <t xml:space="preserve">Rua Professor João Cândido, 635</t>
  </si>
  <si>
    <t xml:space="preserve">Rua Visconde de Mauá, 161</t>
  </si>
  <si>
    <t xml:space="preserve">Av. Expedicionários, 159</t>
  </si>
  <si>
    <t xml:space="preserve">Rua Rui Barbosa, 174</t>
  </si>
  <si>
    <t xml:space="preserve">Av. Duque de Caxias, 1135</t>
  </si>
  <si>
    <t xml:space="preserve">PONTA GROSSA</t>
  </si>
  <si>
    <t xml:space="preserve">Rua Rui Barbosa, 379</t>
  </si>
  <si>
    <t xml:space="preserve">Av. Presidente Tancredo Neves, 1555</t>
  </si>
  <si>
    <t xml:space="preserve">Rua Quinze de Novembro, 3337</t>
  </si>
  <si>
    <t xml:space="preserve">Av. Santos Dumont, 2255</t>
  </si>
  <si>
    <t xml:space="preserve">Rua Lauro Ferreira Caldas, 145</t>
  </si>
  <si>
    <t xml:space="preserve">Rua João Gonçalves Padilha, 391</t>
  </si>
  <si>
    <t xml:space="preserve">Rua Leopoldo Voigt, 106</t>
  </si>
  <si>
    <t xml:space="preserve">Rua Lécia Ucrainka, 367</t>
  </si>
  <si>
    <t xml:space="preserve">Rua Santo Antônio, 839</t>
  </si>
  <si>
    <t xml:space="preserve">Av. Antônio Cunha, 507</t>
  </si>
  <si>
    <t xml:space="preserve">Rua Ondina Bueno Siqueira, 220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</si>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</sst>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\ ;[RED]\(#,##0.00\)"/>
    <numFmt numFmtId="173" formatCode="0.00%"/>
    <numFmt numFmtId="174" formatCode="#,##0.0"/>
    <numFmt numFmtId="175" formatCode="#,##0"/>
    <numFmt numFmtId="176" formatCode="#,##0;[RED]\(#,##0\)"/>
    <numFmt numFmtId="177" formatCode="0"/>
    <numFmt numFmtId="178" formatCode="@"/>
    <numFmt numFmtId="179" formatCode="mm/yy"/>
    <numFmt numFmtId="180" formatCode="&quot;R$ &quot;#,##0.00"/>
    <numFmt numFmtId="181" formatCode="0.000"/>
    <numFmt numFmtId="182" formatCode="d/m/yyyy"/>
    <numFmt numFmtId="183" formatCode="&quot;R$ &quot;#,##0.00;[RED]&quot;-R$ &quot;#,##0.00"/>
  </numFmts>
  <fonts count="28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0"/>
      <color rgb="FFC9211E"/>
      <name val="Arial"/>
      <family val="1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DCDADA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0.05"/>
        <bgColor rgb="FFD9D9D9"/>
      </patternFill>
    </fill>
    <fill>
      <patternFill patternType="solid">
        <fgColor rgb="FFF2F2F2"/>
        <bgColor rgb="FFEEEEEE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0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4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1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0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1" fillId="7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0" fillId="7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1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1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0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19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7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0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1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9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0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7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3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9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5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25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4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1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1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11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66FFFF"/>
      <rgbColor rgb="FFFF99CC"/>
      <rgbColor rgb="FFCC99FF"/>
      <rgbColor rgb="FFDCDADA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46440</xdr:colOff>
      <xdr:row>1</xdr:row>
      <xdr:rowOff>1176120</xdr:rowOff>
    </xdr:to>
    <xdr:sp>
      <xdr:nvSpPr>
        <xdr:cNvPr id="0" name="CustomShape 1"/>
        <xdr:cNvSpPr/>
      </xdr:nvSpPr>
      <xdr:spPr>
        <a:xfrm>
          <a:off x="2441160" y="288360"/>
          <a:ext cx="2640240" cy="10782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380520</xdr:colOff>
      <xdr:row>1</xdr:row>
      <xdr:rowOff>1147320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2480" cy="939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43200</xdr:rowOff>
    </xdr:from>
    <xdr:to>
      <xdr:col>2</xdr:col>
      <xdr:colOff>2414160</xdr:colOff>
      <xdr:row>21</xdr:row>
      <xdr:rowOff>1084320</xdr:rowOff>
    </xdr:to>
    <xdr:pic>
      <xdr:nvPicPr>
        <xdr:cNvPr id="2" name="Figura 4" descr=""/>
        <xdr:cNvPicPr/>
      </xdr:nvPicPr>
      <xdr:blipFill>
        <a:blip r:embed="rId1"/>
        <a:srcRect l="14223" t="63690" r="19692" b="19108"/>
        <a:stretch/>
      </xdr:blipFill>
      <xdr:spPr>
        <a:xfrm>
          <a:off x="407520" y="4091400"/>
          <a:ext cx="6656760" cy="1041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151200</xdr:colOff>
      <xdr:row>25</xdr:row>
      <xdr:rowOff>104760</xdr:rowOff>
    </xdr:from>
    <xdr:to>
      <xdr:col>2</xdr:col>
      <xdr:colOff>2361960</xdr:colOff>
      <xdr:row>29</xdr:row>
      <xdr:rowOff>71280</xdr:rowOff>
    </xdr:to>
    <xdr:pic>
      <xdr:nvPicPr>
        <xdr:cNvPr id="3" name="Figura 7" descr=""/>
        <xdr:cNvPicPr/>
      </xdr:nvPicPr>
      <xdr:blipFill>
        <a:blip r:embed="rId2"/>
        <a:srcRect l="17772" t="51123" r="20994" b="38320"/>
        <a:stretch/>
      </xdr:blipFill>
      <xdr:spPr>
        <a:xfrm>
          <a:off x="558720" y="6429240"/>
          <a:ext cx="6453360" cy="6523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66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G11" activeCellId="0" sqref="G11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2</v>
      </c>
      <c r="C11" s="11" t="s">
        <v>10</v>
      </c>
      <c r="D11" s="12" t="s">
        <v>11</v>
      </c>
      <c r="E11" s="12" t="n">
        <v>12</v>
      </c>
      <c r="F11" s="13" t="n">
        <f aca="false">ROUND(Resumo!D7+Resumo!F7,2)</f>
        <v>138348.42</v>
      </c>
      <c r="G11" s="14" t="n">
        <f aca="false">F11*12</f>
        <v>1660181.04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K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7" activeCellId="0" sqref="G17"/>
    </sheetView>
  </sheetViews>
  <sheetFormatPr defaultColWidth="8.453125" defaultRowHeight="12.75" zeroHeight="false" outlineLevelRow="0" outlineLevelCol="0"/>
  <cols>
    <col collapsed="false" customWidth="true" hidden="false" outlineLevel="0" max="1" min="1" style="1" width="5.2"/>
    <col collapsed="false" customWidth="true" hidden="false" outlineLevel="0" max="2" min="2" style="1" width="2.99"/>
    <col collapsed="false" customWidth="true" hidden="false" outlineLevel="0" max="3" min="3" style="1" width="12.21"/>
    <col collapsed="false" customWidth="true" hidden="false" outlineLevel="0" max="4" min="4" style="1" width="60.05"/>
    <col collapsed="false" customWidth="true" hidden="false" outlineLevel="0" max="5" min="5" style="1" width="30.01"/>
    <col collapsed="false" customWidth="true" hidden="false" outlineLevel="0" max="6" min="6" style="1" width="10.01"/>
    <col collapsed="false" customWidth="true" hidden="false" outlineLevel="0" max="7" min="7" style="1" width="13.78"/>
    <col collapsed="false" customWidth="true" hidden="false" outlineLevel="0" max="8" min="8" style="1" width="11.96"/>
    <col collapsed="false" customWidth="true" hidden="false" outlineLevel="0" max="9" min="9" style="1" width="14.03"/>
    <col collapsed="false" customWidth="true" hidden="false" outlineLevel="0" max="1026" min="10" style="1" width="8.57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1" t="s">
        <v>197</v>
      </c>
      <c r="C2" s="151"/>
      <c r="D2" s="151"/>
      <c r="E2" s="151"/>
      <c r="F2" s="151"/>
      <c r="G2" s="151"/>
      <c r="H2" s="151"/>
      <c r="I2" s="151"/>
    </row>
    <row r="3" customFormat="false" ht="19.5" hidden="false" customHeight="true" outlineLevel="0" collapsed="false"/>
    <row r="4" customFormat="false" ht="16.5" hidden="false" customHeight="true" outlineLevel="0" collapsed="false">
      <c r="B4" s="152" t="s">
        <v>198</v>
      </c>
      <c r="C4" s="152"/>
      <c r="D4" s="152"/>
      <c r="E4" s="152"/>
      <c r="F4" s="152"/>
      <c r="G4" s="152"/>
      <c r="H4" s="152"/>
      <c r="I4" s="152"/>
    </row>
    <row r="5" customFormat="false" ht="16.5" hidden="false" customHeight="true" outlineLevel="0" collapsed="false">
      <c r="B5" s="153" t="s">
        <v>154</v>
      </c>
      <c r="C5" s="153"/>
      <c r="D5" s="154" t="n">
        <v>91677</v>
      </c>
      <c r="E5" s="154"/>
      <c r="F5" s="154"/>
      <c r="G5" s="154"/>
      <c r="H5" s="154"/>
      <c r="I5" s="154"/>
    </row>
    <row r="6" customFormat="false" ht="16.5" hidden="false" customHeight="true" outlineLevel="0" collapsed="false">
      <c r="B6" s="153" t="s">
        <v>124</v>
      </c>
      <c r="C6" s="153"/>
      <c r="D6" s="154" t="s">
        <v>199</v>
      </c>
      <c r="E6" s="154"/>
      <c r="F6" s="154"/>
      <c r="G6" s="154"/>
      <c r="H6" s="154"/>
      <c r="I6" s="154"/>
    </row>
    <row r="7" customFormat="false" ht="16.5" hidden="false" customHeight="true" outlineLevel="0" collapsed="false">
      <c r="B7" s="153" t="s">
        <v>157</v>
      </c>
      <c r="C7" s="153"/>
      <c r="D7" s="155" t="s">
        <v>200</v>
      </c>
      <c r="E7" s="155"/>
      <c r="F7" s="155"/>
      <c r="G7" s="155"/>
      <c r="H7" s="155"/>
      <c r="I7" s="155"/>
    </row>
    <row r="8" customFormat="false" ht="16.5" hidden="false" customHeight="true" outlineLevel="0" collapsed="false">
      <c r="B8" s="153" t="s">
        <v>159</v>
      </c>
      <c r="C8" s="153"/>
      <c r="D8" s="154" t="s">
        <v>182</v>
      </c>
      <c r="E8" s="154"/>
      <c r="F8" s="154"/>
      <c r="G8" s="154"/>
      <c r="H8" s="154"/>
      <c r="I8" s="154"/>
    </row>
    <row r="9" customFormat="false" ht="16.5" hidden="false" customHeight="true" outlineLevel="0" collapsed="false">
      <c r="B9" s="153" t="s">
        <v>161</v>
      </c>
      <c r="C9" s="153"/>
      <c r="D9" s="154" t="s">
        <v>201</v>
      </c>
      <c r="E9" s="154"/>
      <c r="F9" s="154"/>
      <c r="G9" s="154"/>
      <c r="H9" s="154"/>
      <c r="I9" s="154"/>
    </row>
    <row r="10" customFormat="false" ht="16.5" hidden="false" customHeight="true" outlineLevel="0" collapsed="false">
      <c r="B10" s="153" t="s">
        <v>125</v>
      </c>
      <c r="C10" s="153"/>
      <c r="D10" s="154" t="s">
        <v>169</v>
      </c>
      <c r="E10" s="154"/>
      <c r="F10" s="154"/>
      <c r="G10" s="154"/>
      <c r="H10" s="154"/>
      <c r="I10" s="154"/>
    </row>
    <row r="11" customFormat="false" ht="23.25" hidden="false" customHeight="true" outlineLevel="0" collapsed="false">
      <c r="B11" s="156" t="s">
        <v>163</v>
      </c>
      <c r="C11" s="156"/>
      <c r="D11" s="157" t="n">
        <f aca="false">SUM(I15:I20)</f>
        <v>127.8325</v>
      </c>
      <c r="E11" s="157"/>
      <c r="F11" s="157"/>
      <c r="G11" s="157"/>
      <c r="H11" s="157"/>
      <c r="I11" s="157"/>
    </row>
    <row r="12" customFormat="false" ht="15.75" hidden="false" customHeight="true" outlineLevel="0" collapsed="false">
      <c r="B12" s="158"/>
      <c r="C12" s="158"/>
      <c r="D12" s="159"/>
      <c r="E12" s="159"/>
      <c r="F12" s="159"/>
      <c r="G12" s="159"/>
      <c r="H12" s="159"/>
      <c r="I12" s="159"/>
    </row>
    <row r="13" customFormat="false" ht="15.75" hidden="false" customHeight="true" outlineLevel="0" collapsed="false">
      <c r="B13" s="158"/>
      <c r="C13" s="158"/>
      <c r="D13" s="159"/>
      <c r="E13" s="159"/>
      <c r="F13" s="159"/>
      <c r="G13" s="159"/>
      <c r="H13" s="159"/>
      <c r="I13" s="159"/>
    </row>
    <row r="14" customFormat="false" ht="39.5" hidden="false" customHeight="false" outlineLevel="0" collapsed="false">
      <c r="B14" s="160"/>
      <c r="C14" s="160" t="s">
        <v>164</v>
      </c>
      <c r="D14" s="160" t="s">
        <v>124</v>
      </c>
      <c r="E14" s="160" t="s">
        <v>161</v>
      </c>
      <c r="F14" s="160" t="s">
        <v>125</v>
      </c>
      <c r="G14" s="160" t="s">
        <v>202</v>
      </c>
      <c r="H14" s="160" t="s">
        <v>165</v>
      </c>
      <c r="I14" s="160" t="s">
        <v>163</v>
      </c>
    </row>
    <row r="15" customFormat="false" ht="19.5" hidden="false" customHeight="true" outlineLevel="0" collapsed="false">
      <c r="B15" s="161" t="s">
        <v>203</v>
      </c>
      <c r="C15" s="161" t="s">
        <v>204</v>
      </c>
      <c r="D15" s="161" t="s">
        <v>205</v>
      </c>
      <c r="E15" s="161" t="s">
        <v>206</v>
      </c>
      <c r="F15" s="161" t="s">
        <v>169</v>
      </c>
      <c r="G15" s="163" t="n">
        <v>3.84</v>
      </c>
      <c r="H15" s="163" t="n">
        <v>1</v>
      </c>
      <c r="I15" s="184" t="n">
        <f aca="false">G15*H15</f>
        <v>3.84</v>
      </c>
      <c r="J15" s="185"/>
      <c r="K15" s="185"/>
    </row>
    <row r="16" customFormat="false" ht="19.5" hidden="false" customHeight="true" outlineLevel="0" collapsed="false">
      <c r="B16" s="161" t="s">
        <v>203</v>
      </c>
      <c r="C16" s="161" t="s">
        <v>207</v>
      </c>
      <c r="D16" s="161" t="s">
        <v>184</v>
      </c>
      <c r="E16" s="161" t="s">
        <v>208</v>
      </c>
      <c r="F16" s="161" t="s">
        <v>169</v>
      </c>
      <c r="G16" s="163" t="n">
        <f aca="false">'Custo Eng. Eletricista'!C14</f>
        <v>122.0625</v>
      </c>
      <c r="H16" s="163" t="n">
        <v>1</v>
      </c>
      <c r="I16" s="184" t="n">
        <f aca="false">G16*H16</f>
        <v>122.0625</v>
      </c>
      <c r="J16" s="185"/>
      <c r="K16" s="185"/>
    </row>
    <row r="17" customFormat="false" ht="30" hidden="false" customHeight="true" outlineLevel="0" collapsed="false">
      <c r="B17" s="161" t="s">
        <v>203</v>
      </c>
      <c r="C17" s="161" t="s">
        <v>209</v>
      </c>
      <c r="D17" s="161" t="s">
        <v>210</v>
      </c>
      <c r="E17" s="161" t="s">
        <v>211</v>
      </c>
      <c r="F17" s="161" t="s">
        <v>169</v>
      </c>
      <c r="G17" s="163" t="s">
        <v>212</v>
      </c>
      <c r="H17" s="163" t="n">
        <v>1</v>
      </c>
      <c r="I17" s="184" t="n">
        <f aca="false">G17*H17</f>
        <v>1.14</v>
      </c>
      <c r="J17" s="185"/>
      <c r="K17" s="185"/>
    </row>
    <row r="18" customFormat="false" ht="30" hidden="false" customHeight="true" outlineLevel="0" collapsed="false">
      <c r="B18" s="161" t="s">
        <v>203</v>
      </c>
      <c r="C18" s="161" t="s">
        <v>213</v>
      </c>
      <c r="D18" s="161" t="s">
        <v>214</v>
      </c>
      <c r="E18" s="161" t="s">
        <v>215</v>
      </c>
      <c r="F18" s="161" t="s">
        <v>169</v>
      </c>
      <c r="G18" s="163" t="s">
        <v>216</v>
      </c>
      <c r="H18" s="163" t="n">
        <v>1</v>
      </c>
      <c r="I18" s="184" t="n">
        <f aca="false">G18*H18</f>
        <v>0.07</v>
      </c>
      <c r="J18" s="185"/>
      <c r="K18" s="185"/>
    </row>
    <row r="19" customFormat="false" ht="30" hidden="false" customHeight="true" outlineLevel="0" collapsed="false">
      <c r="B19" s="161" t="s">
        <v>203</v>
      </c>
      <c r="C19" s="161" t="s">
        <v>217</v>
      </c>
      <c r="D19" s="161" t="s">
        <v>218</v>
      </c>
      <c r="E19" s="161" t="s">
        <v>219</v>
      </c>
      <c r="F19" s="161" t="s">
        <v>169</v>
      </c>
      <c r="G19" s="163" t="s">
        <v>220</v>
      </c>
      <c r="H19" s="163" t="n">
        <v>1</v>
      </c>
      <c r="I19" s="184" t="n">
        <f aca="false">G19*H19</f>
        <v>0.01</v>
      </c>
      <c r="J19" s="185"/>
      <c r="K19" s="185"/>
    </row>
    <row r="20" customFormat="false" ht="30" hidden="false" customHeight="true" outlineLevel="0" collapsed="false">
      <c r="B20" s="161" t="s">
        <v>203</v>
      </c>
      <c r="C20" s="161" t="s">
        <v>221</v>
      </c>
      <c r="D20" s="161" t="s">
        <v>222</v>
      </c>
      <c r="E20" s="161" t="s">
        <v>219</v>
      </c>
      <c r="F20" s="161" t="s">
        <v>169</v>
      </c>
      <c r="G20" s="163" t="s">
        <v>223</v>
      </c>
      <c r="H20" s="163" t="n">
        <v>1</v>
      </c>
      <c r="I20" s="184" t="n">
        <f aca="false">G20*H20</f>
        <v>0.71</v>
      </c>
      <c r="J20" s="185"/>
      <c r="K20" s="185"/>
    </row>
    <row r="21" customFormat="false" ht="19.5" hidden="false" customHeight="tru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C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86" width="5.26"/>
    <col collapsed="false" customWidth="true" hidden="false" outlineLevel="0" max="2" min="2" style="186" width="54.76"/>
    <col collapsed="false" customWidth="true" hidden="false" outlineLevel="0" max="3" min="3" style="186" width="38.76"/>
    <col collapsed="false" customWidth="true" hidden="false" outlineLevel="0" max="4" min="4" style="186" width="31.12"/>
    <col collapsed="false" customWidth="false" hidden="false" outlineLevel="0" max="1024" min="5" style="186" width="10.5"/>
  </cols>
  <sheetData>
    <row r="1" customFormat="false" ht="15" hidden="false" customHeight="true" outlineLevel="0" collapsed="false"/>
    <row r="2" customFormat="false" ht="13.5" hidden="false" customHeight="false" outlineLevel="0" collapsed="false">
      <c r="C2" s="187" t="s">
        <v>182</v>
      </c>
    </row>
    <row r="3" customFormat="false" ht="13.5" hidden="false" customHeight="false" outlineLevel="0" collapsed="false">
      <c r="B3" s="188" t="s">
        <v>224</v>
      </c>
      <c r="C3" s="187" t="s">
        <v>225</v>
      </c>
    </row>
    <row r="4" customFormat="false" ht="15" hidden="false" customHeight="false" outlineLevel="0" collapsed="false">
      <c r="B4" s="188" t="s">
        <v>226</v>
      </c>
      <c r="C4" s="189" t="s">
        <v>227</v>
      </c>
    </row>
    <row r="5" customFormat="false" ht="13.5" hidden="false" customHeight="false" outlineLevel="0" collapsed="false">
      <c r="B5" s="188" t="s">
        <v>187</v>
      </c>
      <c r="C5" s="189" t="n">
        <v>45078</v>
      </c>
    </row>
    <row r="6" customFormat="false" ht="27" hidden="false" customHeight="false" outlineLevel="0" collapsed="false">
      <c r="B6" s="188" t="s">
        <v>228</v>
      </c>
      <c r="C6" s="190" t="s">
        <v>229</v>
      </c>
    </row>
    <row r="7" customFormat="false" ht="13.5" hidden="false" customHeight="false" outlineLevel="0" collapsed="false">
      <c r="B7" s="188" t="s">
        <v>230</v>
      </c>
      <c r="C7" s="191" t="n">
        <v>2596</v>
      </c>
    </row>
    <row r="8" customFormat="false" ht="13.5" hidden="false" customHeight="false" outlineLevel="0" collapsed="false">
      <c r="B8" s="192"/>
      <c r="C8" s="193"/>
    </row>
    <row r="9" customFormat="false" ht="26.25" hidden="false" customHeight="false" outlineLevel="0" collapsed="false">
      <c r="B9" s="194" t="s">
        <v>231</v>
      </c>
      <c r="C9" s="188"/>
    </row>
    <row r="10" customFormat="false" ht="13.5" hidden="false" customHeight="false" outlineLevel="0" collapsed="false">
      <c r="B10" s="188" t="s">
        <v>191</v>
      </c>
      <c r="C10" s="195" t="n">
        <v>0.8708</v>
      </c>
    </row>
    <row r="11" customFormat="false" ht="13.5" hidden="false" customHeight="false" outlineLevel="0" collapsed="false">
      <c r="B11" s="188" t="s">
        <v>232</v>
      </c>
      <c r="C11" s="195" t="n">
        <v>0.488</v>
      </c>
    </row>
    <row r="12" customFormat="false" ht="13.5" hidden="false" customHeight="false" outlineLevel="0" collapsed="false">
      <c r="B12" s="188" t="s">
        <v>192</v>
      </c>
      <c r="C12" s="195" t="n">
        <v>1.17</v>
      </c>
    </row>
    <row r="13" customFormat="false" ht="13.5" hidden="false" customHeight="false" outlineLevel="0" collapsed="false">
      <c r="B13" s="188" t="s">
        <v>233</v>
      </c>
      <c r="C13" s="195" t="n">
        <v>0.7268</v>
      </c>
    </row>
    <row r="14" customFormat="false" ht="13.5" hidden="false" customHeight="true" outlineLevel="0" collapsed="false">
      <c r="B14" s="192"/>
      <c r="C14" s="192"/>
    </row>
    <row r="15" customFormat="false" ht="13.5" hidden="false" customHeight="false" outlineLevel="0" collapsed="false">
      <c r="B15" s="196" t="s">
        <v>234</v>
      </c>
      <c r="C15" s="197"/>
    </row>
    <row r="16" customFormat="false" ht="15" hidden="false" customHeight="false" outlineLevel="0" collapsed="false">
      <c r="B16" s="198" t="s">
        <v>235</v>
      </c>
      <c r="C16" s="197" t="n">
        <f aca="false">C7*(1+C11)</f>
        <v>3862.848</v>
      </c>
    </row>
    <row r="17" customFormat="false" ht="15" hidden="false" customHeight="false" outlineLevel="0" collapsed="false">
      <c r="B17" s="198" t="s">
        <v>236</v>
      </c>
      <c r="C17" s="197" t="n">
        <f aca="false">C7*(1+C13)</f>
        <v>4482.7728</v>
      </c>
    </row>
    <row r="18" customFormat="false" ht="15" hidden="false" customHeight="false" outlineLevel="0" collapsed="false">
      <c r="B18" s="198" t="s">
        <v>237</v>
      </c>
      <c r="C18" s="199" t="n">
        <f aca="false">C16*(1+C10)/(220*(1+C11))</f>
        <v>22.07544</v>
      </c>
    </row>
    <row r="19" customFormat="false" ht="15" hidden="false" customHeight="false" outlineLevel="0" collapsed="false">
      <c r="B19" s="198" t="s">
        <v>238</v>
      </c>
      <c r="C19" s="199" t="n">
        <f aca="false">(C17*(1+C12)/(220*(1+C13)))</f>
        <v>25.606</v>
      </c>
    </row>
    <row r="21" customFormat="false" ht="13.5" hidden="false" customHeight="false" outlineLevel="0" collapsed="false">
      <c r="B21" s="186" t="s">
        <v>239</v>
      </c>
    </row>
    <row r="22" customFormat="false" ht="87.75" hidden="false" customHeight="true" outlineLevel="0" collapsed="false"/>
    <row r="23" customFormat="false" ht="34.5" hidden="false" customHeight="true" outlineLevel="0" collapsed="false">
      <c r="B23" s="200" t="s">
        <v>240</v>
      </c>
      <c r="C23" s="200"/>
    </row>
    <row r="24" customFormat="false" ht="33.75" hidden="false" customHeight="true" outlineLevel="0" collapsed="false">
      <c r="B24" s="200" t="s">
        <v>241</v>
      </c>
      <c r="C24" s="200"/>
    </row>
    <row r="25" customFormat="false" ht="23.25" hidden="false" customHeight="true" outlineLevel="0" collapsed="false">
      <c r="B25" s="200" t="s">
        <v>242</v>
      </c>
      <c r="C25" s="200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13" activeCellId="0" sqref="P13"/>
    </sheetView>
  </sheetViews>
  <sheetFormatPr defaultColWidth="8.625" defaultRowHeight="13.5" zeroHeight="false" outlineLevelRow="0" outlineLevelCol="0"/>
  <cols>
    <col collapsed="false" customWidth="true" hidden="false" outlineLevel="0" max="1" min="1" style="1" width="5.26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.25"/>
    <col collapsed="false" customWidth="true" hidden="false" outlineLevel="0" max="5" min="5" style="1" width="30.12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1" t="s">
        <v>243</v>
      </c>
      <c r="C2" s="151"/>
      <c r="D2" s="151"/>
      <c r="E2" s="151"/>
      <c r="F2" s="151"/>
      <c r="G2" s="151"/>
      <c r="H2" s="151"/>
      <c r="I2" s="151"/>
    </row>
    <row r="3" customFormat="false" ht="19.5" hidden="false" customHeight="true" outlineLevel="0" collapsed="false"/>
    <row r="4" customFormat="false" ht="16.5" hidden="false" customHeight="true" outlineLevel="0" collapsed="false">
      <c r="B4" s="152" t="s">
        <v>244</v>
      </c>
      <c r="C4" s="152"/>
      <c r="D4" s="152"/>
      <c r="E4" s="152"/>
      <c r="F4" s="152"/>
      <c r="G4" s="152"/>
      <c r="H4" s="152"/>
      <c r="I4" s="152"/>
    </row>
    <row r="5" customFormat="false" ht="16.5" hidden="false" customHeight="true" outlineLevel="0" collapsed="false">
      <c r="B5" s="153" t="s">
        <v>154</v>
      </c>
      <c r="C5" s="153"/>
      <c r="D5" s="154" t="n">
        <v>88264</v>
      </c>
      <c r="E5" s="154"/>
      <c r="F5" s="154"/>
      <c r="G5" s="154"/>
      <c r="H5" s="154"/>
      <c r="I5" s="154"/>
    </row>
    <row r="6" customFormat="false" ht="16.5" hidden="false" customHeight="true" outlineLevel="0" collapsed="false">
      <c r="B6" s="153" t="s">
        <v>124</v>
      </c>
      <c r="C6" s="153"/>
      <c r="D6" s="154" t="s">
        <v>245</v>
      </c>
      <c r="E6" s="154"/>
      <c r="F6" s="154"/>
      <c r="G6" s="154"/>
      <c r="H6" s="154"/>
      <c r="I6" s="154"/>
    </row>
    <row r="7" customFormat="false" ht="16.5" hidden="false" customHeight="true" outlineLevel="0" collapsed="false">
      <c r="B7" s="153" t="s">
        <v>157</v>
      </c>
      <c r="C7" s="153"/>
      <c r="D7" s="155" t="s">
        <v>200</v>
      </c>
      <c r="E7" s="155"/>
      <c r="F7" s="155"/>
      <c r="G7" s="155"/>
      <c r="H7" s="155"/>
      <c r="I7" s="155"/>
    </row>
    <row r="8" customFormat="false" ht="16.5" hidden="false" customHeight="true" outlineLevel="0" collapsed="false">
      <c r="B8" s="153" t="s">
        <v>159</v>
      </c>
      <c r="C8" s="153"/>
      <c r="D8" s="154" t="s">
        <v>182</v>
      </c>
      <c r="E8" s="154"/>
      <c r="F8" s="154"/>
      <c r="G8" s="154"/>
      <c r="H8" s="154"/>
      <c r="I8" s="154"/>
    </row>
    <row r="9" customFormat="false" ht="16.5" hidden="false" customHeight="true" outlineLevel="0" collapsed="false">
      <c r="B9" s="153" t="s">
        <v>161</v>
      </c>
      <c r="C9" s="153"/>
      <c r="D9" s="154" t="s">
        <v>201</v>
      </c>
      <c r="E9" s="154"/>
      <c r="F9" s="154"/>
      <c r="G9" s="154"/>
      <c r="H9" s="154"/>
      <c r="I9" s="154"/>
    </row>
    <row r="10" customFormat="false" ht="16.5" hidden="false" customHeight="true" outlineLevel="0" collapsed="false">
      <c r="B10" s="153" t="s">
        <v>125</v>
      </c>
      <c r="C10" s="153"/>
      <c r="D10" s="154" t="s">
        <v>169</v>
      </c>
      <c r="E10" s="154"/>
      <c r="F10" s="154"/>
      <c r="G10" s="154"/>
      <c r="H10" s="154"/>
      <c r="I10" s="154"/>
    </row>
    <row r="11" customFormat="false" ht="23.25" hidden="false" customHeight="true" outlineLevel="0" collapsed="false">
      <c r="B11" s="156" t="s">
        <v>163</v>
      </c>
      <c r="C11" s="156"/>
      <c r="D11" s="157" t="n">
        <f aca="false">SUM(I14:I22)</f>
        <v>34.79</v>
      </c>
      <c r="E11" s="157"/>
      <c r="F11" s="157"/>
      <c r="G11" s="157"/>
      <c r="H11" s="157"/>
      <c r="I11" s="157"/>
    </row>
    <row r="12" customFormat="false" ht="15.75" hidden="false" customHeight="true" outlineLevel="0" collapsed="false">
      <c r="B12" s="158"/>
      <c r="C12" s="158"/>
      <c r="D12" s="159"/>
      <c r="E12" s="159"/>
      <c r="F12" s="159"/>
      <c r="G12" s="159"/>
      <c r="H12" s="159"/>
      <c r="I12" s="159"/>
    </row>
    <row r="13" customFormat="false" ht="41.25" hidden="false" customHeight="false" outlineLevel="0" collapsed="false">
      <c r="B13" s="160"/>
      <c r="C13" s="160" t="s">
        <v>164</v>
      </c>
      <c r="D13" s="160" t="s">
        <v>124</v>
      </c>
      <c r="E13" s="160" t="s">
        <v>161</v>
      </c>
      <c r="F13" s="160" t="s">
        <v>125</v>
      </c>
      <c r="G13" s="160" t="s">
        <v>202</v>
      </c>
      <c r="H13" s="160" t="s">
        <v>165</v>
      </c>
      <c r="I13" s="160" t="s">
        <v>163</v>
      </c>
    </row>
    <row r="14" customFormat="false" ht="27.75" hidden="false" customHeight="true" outlineLevel="0" collapsed="false">
      <c r="B14" s="161" t="s">
        <v>166</v>
      </c>
      <c r="C14" s="161" t="n">
        <v>95332</v>
      </c>
      <c r="D14" s="161" t="s">
        <v>246</v>
      </c>
      <c r="E14" s="161" t="s">
        <v>201</v>
      </c>
      <c r="F14" s="161" t="s">
        <v>169</v>
      </c>
      <c r="G14" s="163" t="n">
        <v>1</v>
      </c>
      <c r="H14" s="163" t="n">
        <v>1</v>
      </c>
      <c r="I14" s="184" t="n">
        <f aca="false">G14*H14</f>
        <v>1</v>
      </c>
      <c r="J14" s="185"/>
      <c r="K14" s="185"/>
    </row>
    <row r="15" customFormat="false" ht="32.25" hidden="false" customHeight="true" outlineLevel="0" collapsed="false">
      <c r="B15" s="161" t="s">
        <v>203</v>
      </c>
      <c r="C15" s="161" t="s">
        <v>247</v>
      </c>
      <c r="D15" s="161" t="s">
        <v>248</v>
      </c>
      <c r="E15" s="161" t="s">
        <v>208</v>
      </c>
      <c r="F15" s="161" t="s">
        <v>169</v>
      </c>
      <c r="G15" s="163" t="n">
        <v>25.61</v>
      </c>
      <c r="H15" s="163" t="n">
        <v>1</v>
      </c>
      <c r="I15" s="184" t="n">
        <f aca="false">G15*H15</f>
        <v>25.61</v>
      </c>
      <c r="J15" s="185"/>
      <c r="K15" s="185"/>
    </row>
    <row r="16" customFormat="false" ht="42" hidden="false" customHeight="true" outlineLevel="0" collapsed="false">
      <c r="B16" s="161" t="s">
        <v>203</v>
      </c>
      <c r="C16" s="161" t="n">
        <v>37370</v>
      </c>
      <c r="D16" s="161" t="s">
        <v>249</v>
      </c>
      <c r="E16" s="161" t="s">
        <v>211</v>
      </c>
      <c r="F16" s="161" t="s">
        <v>169</v>
      </c>
      <c r="G16" s="163" t="n">
        <v>3.79</v>
      </c>
      <c r="H16" s="163" t="n">
        <v>1</v>
      </c>
      <c r="I16" s="184" t="n">
        <f aca="false">G16*H16</f>
        <v>3.79</v>
      </c>
      <c r="J16" s="185"/>
      <c r="K16" s="185"/>
    </row>
    <row r="17" customFormat="false" ht="27.75" hidden="false" customHeight="true" outlineLevel="0" collapsed="false">
      <c r="B17" s="161" t="s">
        <v>203</v>
      </c>
      <c r="C17" s="161" t="n">
        <v>37371</v>
      </c>
      <c r="D17" s="161" t="s">
        <v>250</v>
      </c>
      <c r="E17" s="161" t="s">
        <v>251</v>
      </c>
      <c r="F17" s="161" t="s">
        <v>169</v>
      </c>
      <c r="G17" s="163" t="n">
        <v>0.86</v>
      </c>
      <c r="H17" s="163" t="n">
        <v>1</v>
      </c>
      <c r="I17" s="184" t="n">
        <f aca="false">G17*H17</f>
        <v>0.86</v>
      </c>
      <c r="J17" s="185"/>
      <c r="K17" s="185"/>
    </row>
    <row r="18" customFormat="false" ht="42" hidden="false" customHeight="true" outlineLevel="0" collapsed="false">
      <c r="B18" s="161" t="s">
        <v>203</v>
      </c>
      <c r="C18" s="161" t="n">
        <v>37372</v>
      </c>
      <c r="D18" s="161" t="s">
        <v>210</v>
      </c>
      <c r="E18" s="161" t="s">
        <v>211</v>
      </c>
      <c r="F18" s="161" t="s">
        <v>169</v>
      </c>
      <c r="G18" s="163" t="n">
        <v>1.14</v>
      </c>
      <c r="H18" s="163" t="n">
        <v>1</v>
      </c>
      <c r="I18" s="184" t="n">
        <f aca="false">G18*H18</f>
        <v>1.14</v>
      </c>
      <c r="J18" s="185"/>
      <c r="K18" s="185"/>
    </row>
    <row r="19" customFormat="false" ht="27.75" hidden="false" customHeight="true" outlineLevel="0" collapsed="false">
      <c r="B19" s="161" t="s">
        <v>203</v>
      </c>
      <c r="C19" s="161" t="n">
        <v>37373</v>
      </c>
      <c r="D19" s="161" t="s">
        <v>214</v>
      </c>
      <c r="E19" s="161" t="s">
        <v>215</v>
      </c>
      <c r="F19" s="161" t="s">
        <v>169</v>
      </c>
      <c r="G19" s="163" t="n">
        <v>0.07</v>
      </c>
      <c r="H19" s="163" t="n">
        <v>1</v>
      </c>
      <c r="I19" s="184" t="n">
        <f aca="false">G19*H19</f>
        <v>0.07</v>
      </c>
      <c r="J19" s="185"/>
      <c r="K19" s="185"/>
    </row>
    <row r="20" customFormat="false" ht="26.25" hidden="false" customHeight="false" outlineLevel="0" collapsed="false">
      <c r="B20" s="161" t="s">
        <v>203</v>
      </c>
      <c r="C20" s="161" t="n">
        <v>43460</v>
      </c>
      <c r="D20" s="161" t="s">
        <v>252</v>
      </c>
      <c r="E20" s="161" t="s">
        <v>219</v>
      </c>
      <c r="F20" s="161" t="s">
        <v>169</v>
      </c>
      <c r="G20" s="163" t="n">
        <v>0.86</v>
      </c>
      <c r="H20" s="163" t="n">
        <v>1</v>
      </c>
      <c r="I20" s="184" t="n">
        <f aca="false">G20*H20</f>
        <v>0.86</v>
      </c>
      <c r="J20" s="185"/>
      <c r="K20" s="185"/>
    </row>
    <row r="21" customFormat="false" ht="26.25" hidden="false" customHeight="false" outlineLevel="0" collapsed="false">
      <c r="B21" s="201" t="s">
        <v>203</v>
      </c>
      <c r="C21" s="201" t="n">
        <v>43461</v>
      </c>
      <c r="D21" s="201" t="s">
        <v>253</v>
      </c>
      <c r="E21" s="201" t="s">
        <v>219</v>
      </c>
      <c r="F21" s="201" t="s">
        <v>169</v>
      </c>
      <c r="G21" s="202" t="n">
        <v>0.32</v>
      </c>
      <c r="H21" s="202" t="n">
        <v>1</v>
      </c>
      <c r="I21" s="203" t="n">
        <f aca="false">G21*H21</f>
        <v>0.32</v>
      </c>
      <c r="J21" s="185"/>
      <c r="K21" s="185"/>
    </row>
    <row r="22" customFormat="false" ht="26.25" hidden="false" customHeight="false" outlineLevel="0" collapsed="false">
      <c r="B22" s="161" t="s">
        <v>203</v>
      </c>
      <c r="C22" s="161" t="n">
        <v>43484</v>
      </c>
      <c r="D22" s="161" t="s">
        <v>254</v>
      </c>
      <c r="E22" s="161" t="s">
        <v>219</v>
      </c>
      <c r="F22" s="161" t="s">
        <v>169</v>
      </c>
      <c r="G22" s="163" t="n">
        <v>1.14</v>
      </c>
      <c r="H22" s="163" t="n">
        <v>1</v>
      </c>
      <c r="I22" s="184" t="n">
        <f aca="false">G22*H22</f>
        <v>1.14</v>
      </c>
      <c r="J22" s="185"/>
      <c r="K22" s="185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N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31" activeCellId="0" sqref="L31"/>
    </sheetView>
  </sheetViews>
  <sheetFormatPr defaultColWidth="10.25781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15.5"/>
    <col collapsed="false" customWidth="true" hidden="false" outlineLevel="0" max="3" min="3" style="17" width="16.26"/>
    <col collapsed="false" customWidth="true" hidden="false" outlineLevel="0" max="4" min="4" style="16" width="31.88"/>
    <col collapsed="false" customWidth="true" hidden="false" outlineLevel="0" max="5" min="5" style="16" width="36.88"/>
    <col collapsed="false" customWidth="true" hidden="false" outlineLevel="0" max="6" min="6" style="17" width="15.26"/>
    <col collapsed="false" customWidth="true" hidden="false" outlineLevel="0" max="7" min="7" style="16" width="9"/>
    <col collapsed="false" customWidth="true" hidden="false" outlineLevel="0" max="8" min="8" style="16" width="9.12"/>
    <col collapsed="false" customWidth="true" hidden="false" outlineLevel="0" max="9" min="9" style="16" width="12"/>
    <col collapsed="false" customWidth="true" hidden="false" outlineLevel="0" max="11" min="10" style="16" width="11.25"/>
    <col collapsed="false" customWidth="true" hidden="false" outlineLevel="0" max="12" min="12" style="16" width="10.38"/>
    <col collapsed="false" customWidth="true" hidden="false" outlineLevel="0" max="13" min="13" style="16" width="10.5"/>
    <col collapsed="false" customWidth="true" hidden="false" outlineLevel="0" max="14" min="14" style="16" width="12.5"/>
    <col collapsed="false" customWidth="true" hidden="false" outlineLevel="0" max="259" min="15" style="16" width="10.5"/>
  </cols>
  <sheetData>
    <row r="1" customFormat="false" ht="15" hidden="false" customHeight="true" outlineLevel="0" collapsed="false"/>
    <row r="2" s="204" customFormat="true" ht="29.25" hidden="false" customHeight="true" outlineLevel="0" collapsed="false">
      <c r="B2" s="205" t="str">
        <f aca="false">"RELAÇÃO DE UNIDADES DO "&amp;'Valor da Contratação'!B7&amp;""</f>
        <v>RELAÇÃO DE UNIDADES DO POLO II</v>
      </c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="16" customFormat="true" ht="15" hidden="false" customHeight="true" outlineLevel="0" collapsed="false"/>
    <row r="4" customFormat="false" ht="66.75" hidden="false" customHeight="true" outlineLevel="0" collapsed="false">
      <c r="B4" s="32" t="s">
        <v>255</v>
      </c>
      <c r="C4" s="32" t="s">
        <v>13</v>
      </c>
      <c r="D4" s="32" t="s">
        <v>41</v>
      </c>
      <c r="E4" s="32" t="s">
        <v>256</v>
      </c>
      <c r="F4" s="32" t="s">
        <v>257</v>
      </c>
      <c r="G4" s="32" t="s">
        <v>258</v>
      </c>
      <c r="H4" s="32" t="s">
        <v>71</v>
      </c>
      <c r="I4" s="32" t="s">
        <v>259</v>
      </c>
      <c r="J4" s="32" t="s">
        <v>260</v>
      </c>
      <c r="K4" s="32" t="s">
        <v>261</v>
      </c>
      <c r="L4" s="32" t="s">
        <v>262</v>
      </c>
      <c r="M4" s="32" t="s">
        <v>263</v>
      </c>
      <c r="N4" s="32" t="s">
        <v>264</v>
      </c>
    </row>
    <row r="5" customFormat="false" ht="18" hidden="false" customHeight="true" outlineLevel="0" collapsed="false">
      <c r="B5" s="206" t="s">
        <v>21</v>
      </c>
      <c r="C5" s="206" t="s">
        <v>21</v>
      </c>
      <c r="D5" s="62" t="s">
        <v>81</v>
      </c>
      <c r="E5" s="207" t="s">
        <v>265</v>
      </c>
      <c r="F5" s="64" t="n">
        <f aca="false">11/60</f>
        <v>0.183333333333333</v>
      </c>
      <c r="G5" s="208" t="n">
        <v>0.05</v>
      </c>
      <c r="H5" s="208" t="n">
        <f aca="false">HLOOKUP(G5,BDI!$D$19:$J$30,12,)</f>
        <v>0.2624</v>
      </c>
      <c r="I5" s="209" t="n">
        <v>337.58</v>
      </c>
      <c r="J5" s="209" t="n">
        <v>337.58</v>
      </c>
      <c r="K5" s="209" t="n">
        <v>0</v>
      </c>
      <c r="L5" s="209" t="n">
        <v>0</v>
      </c>
      <c r="M5" s="209" t="s">
        <v>266</v>
      </c>
      <c r="N5" s="209" t="s">
        <v>266</v>
      </c>
    </row>
    <row r="6" customFormat="false" ht="18" hidden="false" customHeight="true" outlineLevel="0" collapsed="false">
      <c r="B6" s="206" t="s">
        <v>21</v>
      </c>
      <c r="C6" s="206" t="s">
        <v>21</v>
      </c>
      <c r="D6" s="62" t="s">
        <v>83</v>
      </c>
      <c r="E6" s="207" t="s">
        <v>267</v>
      </c>
      <c r="F6" s="64" t="n">
        <f aca="false">200/60</f>
        <v>3.33333333333333</v>
      </c>
      <c r="G6" s="208" t="n">
        <v>0.03</v>
      </c>
      <c r="H6" s="208" t="n">
        <f aca="false">HLOOKUP(G6,BDI!$D$19:$J$30,12,)</f>
        <v>0.2354</v>
      </c>
      <c r="I6" s="209" t="n">
        <v>334.4</v>
      </c>
      <c r="J6" s="209" t="n">
        <v>296</v>
      </c>
      <c r="K6" s="209" t="n">
        <v>38.4</v>
      </c>
      <c r="L6" s="209" t="n">
        <v>0</v>
      </c>
      <c r="M6" s="209" t="s">
        <v>266</v>
      </c>
      <c r="N6" s="209" t="s">
        <v>266</v>
      </c>
    </row>
    <row r="7" customFormat="false" ht="18" hidden="false" customHeight="true" outlineLevel="0" collapsed="false">
      <c r="B7" s="206" t="s">
        <v>21</v>
      </c>
      <c r="C7" s="206" t="s">
        <v>21</v>
      </c>
      <c r="D7" s="62" t="s">
        <v>85</v>
      </c>
      <c r="E7" s="210" t="s">
        <v>268</v>
      </c>
      <c r="F7" s="64" t="n">
        <f aca="false">130/60</f>
        <v>2.16666666666667</v>
      </c>
      <c r="G7" s="208" t="n">
        <v>0.025</v>
      </c>
      <c r="H7" s="208" t="n">
        <f aca="false">HLOOKUP(G7,BDI!$D$19:$J$30,12,)</f>
        <v>0.2288</v>
      </c>
      <c r="I7" s="209" t="n">
        <v>2574.59</v>
      </c>
      <c r="J7" s="209" t="n">
        <v>1216.59</v>
      </c>
      <c r="K7" s="209" t="n">
        <v>952.47</v>
      </c>
      <c r="L7" s="209" t="n">
        <v>405.53</v>
      </c>
      <c r="M7" s="209" t="s">
        <v>269</v>
      </c>
      <c r="N7" s="209" t="s">
        <v>269</v>
      </c>
    </row>
    <row r="8" customFormat="false" ht="18" hidden="false" customHeight="true" outlineLevel="0" collapsed="false">
      <c r="B8" s="206" t="s">
        <v>21</v>
      </c>
      <c r="C8" s="206" t="s">
        <v>21</v>
      </c>
      <c r="D8" s="62" t="s">
        <v>86</v>
      </c>
      <c r="E8" s="210" t="s">
        <v>270</v>
      </c>
      <c r="F8" s="64" t="n">
        <f aca="false">88/60</f>
        <v>1.46666666666667</v>
      </c>
      <c r="G8" s="208" t="n">
        <v>0.05</v>
      </c>
      <c r="H8" s="208" t="n">
        <f aca="false">HLOOKUP(G8,BDI!$D$19:$J$30,12,)</f>
        <v>0.2624</v>
      </c>
      <c r="I8" s="209" t="n">
        <v>876</v>
      </c>
      <c r="J8" s="209" t="n">
        <v>591</v>
      </c>
      <c r="K8" s="209" t="n">
        <v>285</v>
      </c>
      <c r="L8" s="209" t="n">
        <v>0</v>
      </c>
      <c r="M8" s="209" t="s">
        <v>266</v>
      </c>
      <c r="N8" s="209" t="s">
        <v>266</v>
      </c>
    </row>
    <row r="9" customFormat="false" ht="18" hidden="false" customHeight="true" outlineLevel="0" collapsed="false">
      <c r="B9" s="206" t="s">
        <v>21</v>
      </c>
      <c r="C9" s="206" t="s">
        <v>21</v>
      </c>
      <c r="D9" s="62" t="s">
        <v>87</v>
      </c>
      <c r="E9" s="207" t="s">
        <v>271</v>
      </c>
      <c r="F9" s="64" t="n">
        <f aca="false">186/60</f>
        <v>3.1</v>
      </c>
      <c r="G9" s="208" t="n">
        <v>0.05</v>
      </c>
      <c r="H9" s="208" t="n">
        <f aca="false">HLOOKUP(G9,BDI!$D$19:$J$30,12,)</f>
        <v>0.2624</v>
      </c>
      <c r="I9" s="209" t="n">
        <v>540</v>
      </c>
      <c r="J9" s="209" t="n">
        <v>540</v>
      </c>
      <c r="K9" s="209" t="n">
        <v>0</v>
      </c>
      <c r="L9" s="209" t="n">
        <v>0</v>
      </c>
      <c r="M9" s="209" t="s">
        <v>266</v>
      </c>
      <c r="N9" s="209" t="s">
        <v>269</v>
      </c>
    </row>
    <row r="10" customFormat="false" ht="18" hidden="false" customHeight="true" outlineLevel="0" collapsed="false">
      <c r="B10" s="206" t="s">
        <v>21</v>
      </c>
      <c r="C10" s="206" t="s">
        <v>21</v>
      </c>
      <c r="D10" s="62" t="s">
        <v>89</v>
      </c>
      <c r="E10" s="207" t="s">
        <v>272</v>
      </c>
      <c r="F10" s="64" t="n">
        <f aca="false">226/60</f>
        <v>3.76666666666667</v>
      </c>
      <c r="G10" s="208" t="n">
        <v>0.03</v>
      </c>
      <c r="H10" s="208" t="n">
        <f aca="false">HLOOKUP(G10,BDI!$D$19:$J$30,12,)</f>
        <v>0.2354</v>
      </c>
      <c r="I10" s="209" t="n">
        <v>334.4</v>
      </c>
      <c r="J10" s="209" t="n">
        <v>296</v>
      </c>
      <c r="K10" s="209" t="n">
        <v>38.4</v>
      </c>
      <c r="L10" s="209" t="n">
        <v>0</v>
      </c>
      <c r="M10" s="209" t="s">
        <v>266</v>
      </c>
      <c r="N10" s="209" t="s">
        <v>266</v>
      </c>
    </row>
    <row r="11" customFormat="false" ht="18" hidden="false" customHeight="true" outlineLevel="0" collapsed="false">
      <c r="B11" s="206" t="s">
        <v>21</v>
      </c>
      <c r="C11" s="206" t="s">
        <v>21</v>
      </c>
      <c r="D11" s="62" t="s">
        <v>90</v>
      </c>
      <c r="E11" s="207" t="s">
        <v>273</v>
      </c>
      <c r="F11" s="64" t="n">
        <f aca="false">50/60</f>
        <v>0.833333333333333</v>
      </c>
      <c r="G11" s="208" t="n">
        <v>0.05</v>
      </c>
      <c r="H11" s="208" t="n">
        <f aca="false">HLOOKUP(G11,BDI!$D$19:$J$30,12,)</f>
        <v>0.2624</v>
      </c>
      <c r="I11" s="209" t="n">
        <v>640</v>
      </c>
      <c r="J11" s="209" t="n">
        <v>432</v>
      </c>
      <c r="K11" s="209" t="n">
        <v>208</v>
      </c>
      <c r="L11" s="209" t="n">
        <v>0</v>
      </c>
      <c r="M11" s="209" t="s">
        <v>266</v>
      </c>
      <c r="N11" s="209" t="s">
        <v>266</v>
      </c>
    </row>
    <row r="12" customFormat="false" ht="18" hidden="false" customHeight="true" outlineLevel="0" collapsed="false">
      <c r="B12" s="206" t="s">
        <v>21</v>
      </c>
      <c r="C12" s="206" t="s">
        <v>21</v>
      </c>
      <c r="D12" s="62" t="s">
        <v>92</v>
      </c>
      <c r="E12" s="207" t="s">
        <v>274</v>
      </c>
      <c r="F12" s="64" t="n">
        <f aca="false">120/60</f>
        <v>2</v>
      </c>
      <c r="G12" s="208" t="n">
        <v>0.05</v>
      </c>
      <c r="H12" s="208" t="n">
        <f aca="false">HLOOKUP(G12,BDI!$D$19:$J$30,12,)</f>
        <v>0.2624</v>
      </c>
      <c r="I12" s="209" t="n">
        <v>3162.34</v>
      </c>
      <c r="J12" s="209" t="n">
        <v>777.69</v>
      </c>
      <c r="K12" s="209" t="n">
        <v>2384.65</v>
      </c>
      <c r="L12" s="209" t="n">
        <v>0</v>
      </c>
      <c r="M12" s="209" t="s">
        <v>269</v>
      </c>
      <c r="N12" s="209" t="s">
        <v>269</v>
      </c>
    </row>
    <row r="13" customFormat="false" ht="18" hidden="false" customHeight="true" outlineLevel="0" collapsed="false">
      <c r="B13" s="206" t="s">
        <v>21</v>
      </c>
      <c r="C13" s="206" t="s">
        <v>21</v>
      </c>
      <c r="D13" s="62" t="s">
        <v>94</v>
      </c>
      <c r="E13" s="207" t="s">
        <v>275</v>
      </c>
      <c r="F13" s="64" t="n">
        <f aca="false">266/60</f>
        <v>4.43333333333333</v>
      </c>
      <c r="G13" s="208" t="n">
        <v>0.05</v>
      </c>
      <c r="H13" s="208" t="n">
        <f aca="false">HLOOKUP(G13,BDI!$D$19:$J$30,12,)</f>
        <v>0.2624</v>
      </c>
      <c r="I13" s="209" t="n">
        <v>2748</v>
      </c>
      <c r="J13" s="209" t="n">
        <v>1090</v>
      </c>
      <c r="K13" s="209" t="n">
        <v>1313.41</v>
      </c>
      <c r="L13" s="209" t="n">
        <v>344.59</v>
      </c>
      <c r="M13" s="209" t="s">
        <v>269</v>
      </c>
      <c r="N13" s="209" t="s">
        <v>269</v>
      </c>
    </row>
    <row r="14" customFormat="false" ht="18" hidden="false" customHeight="true" outlineLevel="0" collapsed="false">
      <c r="B14" s="206" t="s">
        <v>21</v>
      </c>
      <c r="C14" s="206" t="s">
        <v>21</v>
      </c>
      <c r="D14" s="62" t="s">
        <v>96</v>
      </c>
      <c r="E14" s="207" t="s">
        <v>276</v>
      </c>
      <c r="F14" s="64" t="n">
        <f aca="false">12/60</f>
        <v>0.2</v>
      </c>
      <c r="G14" s="208" t="n">
        <v>0.05</v>
      </c>
      <c r="H14" s="208" t="n">
        <f aca="false">HLOOKUP(G14,BDI!$D$19:$J$30,12,)</f>
        <v>0.2624</v>
      </c>
      <c r="I14" s="209" t="n">
        <v>2227.69</v>
      </c>
      <c r="J14" s="209" t="n">
        <v>871.93</v>
      </c>
      <c r="K14" s="209" t="n">
        <v>1016.64</v>
      </c>
      <c r="L14" s="209" t="n">
        <v>339.12</v>
      </c>
      <c r="M14" s="209" t="s">
        <v>269</v>
      </c>
      <c r="N14" s="209" t="s">
        <v>266</v>
      </c>
    </row>
    <row r="15" customFormat="false" ht="18" hidden="false" customHeight="true" outlineLevel="0" collapsed="false">
      <c r="B15" s="206" t="s">
        <v>21</v>
      </c>
      <c r="C15" s="206" t="s">
        <v>21</v>
      </c>
      <c r="D15" s="62" t="s">
        <v>97</v>
      </c>
      <c r="E15" s="207" t="s">
        <v>277</v>
      </c>
      <c r="F15" s="64" t="n">
        <f aca="false">22/60</f>
        <v>0.366666666666667</v>
      </c>
      <c r="G15" s="208" t="n">
        <v>0.05</v>
      </c>
      <c r="H15" s="208" t="n">
        <f aca="false">HLOOKUP(G15,BDI!$D$19:$J$30,12,)</f>
        <v>0.2624</v>
      </c>
      <c r="I15" s="209" t="n">
        <v>744.51</v>
      </c>
      <c r="J15" s="209" t="n">
        <v>744.51</v>
      </c>
      <c r="K15" s="209" t="n">
        <v>0</v>
      </c>
      <c r="L15" s="209" t="n">
        <v>0</v>
      </c>
      <c r="M15" s="209" t="s">
        <v>269</v>
      </c>
      <c r="N15" s="209" t="s">
        <v>269</v>
      </c>
    </row>
    <row r="16" customFormat="false" ht="18" hidden="false" customHeight="true" outlineLevel="0" collapsed="false">
      <c r="B16" s="206" t="s">
        <v>21</v>
      </c>
      <c r="C16" s="206" t="s">
        <v>21</v>
      </c>
      <c r="D16" s="62" t="s">
        <v>98</v>
      </c>
      <c r="E16" s="207" t="s">
        <v>278</v>
      </c>
      <c r="F16" s="64" t="n">
        <f aca="false">64/60</f>
        <v>1.06666666666667</v>
      </c>
      <c r="G16" s="208" t="n">
        <v>0.05</v>
      </c>
      <c r="H16" s="208" t="n">
        <f aca="false">HLOOKUP(G16,BDI!$D$19:$J$30,12,)</f>
        <v>0.2624</v>
      </c>
      <c r="I16" s="209" t="n">
        <v>927.97</v>
      </c>
      <c r="J16" s="209" t="n">
        <v>696.73</v>
      </c>
      <c r="K16" s="209" t="n">
        <v>231.24</v>
      </c>
      <c r="L16" s="209" t="n">
        <v>0</v>
      </c>
      <c r="M16" s="209" t="s">
        <v>266</v>
      </c>
      <c r="N16" s="209" t="s">
        <v>269</v>
      </c>
    </row>
    <row r="17" customFormat="false" ht="18" hidden="false" customHeight="true" outlineLevel="0" collapsed="false">
      <c r="B17" s="206" t="s">
        <v>21</v>
      </c>
      <c r="C17" s="206" t="s">
        <v>21</v>
      </c>
      <c r="D17" s="62" t="s">
        <v>99</v>
      </c>
      <c r="E17" s="207" t="s">
        <v>279</v>
      </c>
      <c r="F17" s="64" t="n">
        <f aca="false">262/60</f>
        <v>4.36666666666667</v>
      </c>
      <c r="G17" s="208" t="n">
        <v>0.03</v>
      </c>
      <c r="H17" s="208" t="n">
        <f aca="false">HLOOKUP(G17,BDI!$D$19:$J$30,12,)</f>
        <v>0.2354</v>
      </c>
      <c r="I17" s="209" t="n">
        <v>334.4</v>
      </c>
      <c r="J17" s="209" t="n">
        <v>296</v>
      </c>
      <c r="K17" s="209" t="n">
        <v>38.4</v>
      </c>
      <c r="L17" s="209" t="n">
        <v>0</v>
      </c>
      <c r="M17" s="209" t="s">
        <v>266</v>
      </c>
      <c r="N17" s="209" t="s">
        <v>266</v>
      </c>
    </row>
    <row r="18" customFormat="false" ht="18" hidden="false" customHeight="true" outlineLevel="0" collapsed="false">
      <c r="B18" s="206" t="s">
        <v>21</v>
      </c>
      <c r="C18" s="206" t="s">
        <v>21</v>
      </c>
      <c r="D18" s="62" t="s">
        <v>100</v>
      </c>
      <c r="E18" s="207" t="s">
        <v>280</v>
      </c>
      <c r="F18" s="64" t="n">
        <v>0</v>
      </c>
      <c r="G18" s="208" t="n">
        <v>0.05</v>
      </c>
      <c r="H18" s="208" t="n">
        <f aca="false">HLOOKUP(G18,BDI!$D$19:$J$30,12,)</f>
        <v>0.2624</v>
      </c>
      <c r="I18" s="209" t="n">
        <v>1761.41</v>
      </c>
      <c r="J18" s="209" t="n">
        <v>1378.65</v>
      </c>
      <c r="K18" s="209" t="n">
        <v>382.76</v>
      </c>
      <c r="L18" s="209" t="n">
        <v>0</v>
      </c>
      <c r="M18" s="209" t="s">
        <v>269</v>
      </c>
      <c r="N18" s="209" t="s">
        <v>269</v>
      </c>
    </row>
    <row r="19" customFormat="false" ht="18" hidden="false" customHeight="true" outlineLevel="0" collapsed="false">
      <c r="B19" s="206" t="s">
        <v>281</v>
      </c>
      <c r="C19" s="206" t="s">
        <v>21</v>
      </c>
      <c r="D19" s="62" t="s">
        <v>101</v>
      </c>
      <c r="E19" s="207" t="s">
        <v>282</v>
      </c>
      <c r="F19" s="64" t="n">
        <f aca="false">278/60</f>
        <v>4.63333333333333</v>
      </c>
      <c r="G19" s="208" t="n">
        <v>0.03</v>
      </c>
      <c r="H19" s="208" t="n">
        <f aca="false">HLOOKUP(G19,BDI!$D$19:$J$30,12,)</f>
        <v>0.2354</v>
      </c>
      <c r="I19" s="209" t="n">
        <v>525</v>
      </c>
      <c r="J19" s="209" t="n">
        <v>525</v>
      </c>
      <c r="K19" s="209" t="n">
        <v>0</v>
      </c>
      <c r="L19" s="209" t="n">
        <v>0</v>
      </c>
      <c r="M19" s="209" t="s">
        <v>266</v>
      </c>
      <c r="N19" s="209" t="s">
        <v>266</v>
      </c>
    </row>
    <row r="20" customFormat="false" ht="18" hidden="false" customHeight="true" outlineLevel="0" collapsed="false">
      <c r="B20" s="206" t="s">
        <v>21</v>
      </c>
      <c r="C20" s="206" t="s">
        <v>22</v>
      </c>
      <c r="D20" s="62" t="s">
        <v>141</v>
      </c>
      <c r="E20" s="207" t="s">
        <v>283</v>
      </c>
      <c r="F20" s="64" t="n">
        <f aca="false">282/60</f>
        <v>4.7</v>
      </c>
      <c r="G20" s="208" t="n">
        <v>0.05</v>
      </c>
      <c r="H20" s="208" t="n">
        <f aca="false">HLOOKUP(G20,BDI!$D$19:$J$30,12,)</f>
        <v>0.2624</v>
      </c>
      <c r="I20" s="209" t="n">
        <v>1221.73</v>
      </c>
      <c r="J20" s="209" t="n">
        <v>748.48</v>
      </c>
      <c r="K20" s="209" t="n">
        <v>360.75</v>
      </c>
      <c r="L20" s="209" t="n">
        <v>112.5</v>
      </c>
      <c r="M20" s="209" t="s">
        <v>266</v>
      </c>
      <c r="N20" s="209" t="s">
        <v>269</v>
      </c>
    </row>
    <row r="21" customFormat="false" ht="18" hidden="false" customHeight="true" outlineLevel="0" collapsed="false">
      <c r="B21" s="206" t="s">
        <v>281</v>
      </c>
      <c r="C21" s="206" t="s">
        <v>22</v>
      </c>
      <c r="D21" s="89" t="s">
        <v>142</v>
      </c>
      <c r="E21" s="207" t="s">
        <v>284</v>
      </c>
      <c r="F21" s="64" t="n">
        <v>0</v>
      </c>
      <c r="G21" s="208" t="n">
        <v>0.05</v>
      </c>
      <c r="H21" s="208" t="n">
        <f aca="false">HLOOKUP(G21,BDI!$D$19:$J$30,12,)</f>
        <v>0.2624</v>
      </c>
      <c r="I21" s="209" t="n">
        <v>2915</v>
      </c>
      <c r="J21" s="209" t="n">
        <v>1100</v>
      </c>
      <c r="K21" s="209" t="n">
        <v>1715</v>
      </c>
      <c r="L21" s="209" t="n">
        <v>100</v>
      </c>
      <c r="M21" s="209" t="s">
        <v>269</v>
      </c>
      <c r="N21" s="209" t="s">
        <v>269</v>
      </c>
    </row>
    <row r="22" customFormat="false" ht="18" hidden="false" customHeight="true" outlineLevel="0" collapsed="false">
      <c r="B22" s="206" t="s">
        <v>281</v>
      </c>
      <c r="C22" s="206" t="s">
        <v>22</v>
      </c>
      <c r="D22" s="89" t="s">
        <v>143</v>
      </c>
      <c r="E22" s="207" t="s">
        <v>285</v>
      </c>
      <c r="F22" s="64" t="n">
        <f aca="false">200/60</f>
        <v>3.33333333333333</v>
      </c>
      <c r="G22" s="208" t="n">
        <v>0.05</v>
      </c>
      <c r="H22" s="208" t="n">
        <f aca="false">HLOOKUP(G22,BDI!$D$19:$J$30,12,)</f>
        <v>0.2624</v>
      </c>
      <c r="I22" s="209" t="n">
        <v>480</v>
      </c>
      <c r="J22" s="209" t="n">
        <v>480</v>
      </c>
      <c r="K22" s="209" t="n">
        <v>0</v>
      </c>
      <c r="L22" s="209" t="n">
        <v>0</v>
      </c>
      <c r="M22" s="209" t="s">
        <v>266</v>
      </c>
      <c r="N22" s="209" t="s">
        <v>266</v>
      </c>
    </row>
    <row r="23" customFormat="false" ht="18" hidden="false" customHeight="true" outlineLevel="0" collapsed="false">
      <c r="B23" s="206" t="s">
        <v>281</v>
      </c>
      <c r="C23" s="206" t="s">
        <v>22</v>
      </c>
      <c r="D23" s="89" t="s">
        <v>144</v>
      </c>
      <c r="E23" s="207" t="s">
        <v>286</v>
      </c>
      <c r="F23" s="64" t="n">
        <f aca="false">100/60</f>
        <v>1.66666666666667</v>
      </c>
      <c r="G23" s="208" t="n">
        <v>0.05</v>
      </c>
      <c r="H23" s="208" t="n">
        <f aca="false">HLOOKUP(G23,BDI!$D$19:$J$30,12,)</f>
        <v>0.2624</v>
      </c>
      <c r="I23" s="209" t="n">
        <v>334.4</v>
      </c>
      <c r="J23" s="209" t="n">
        <v>296</v>
      </c>
      <c r="K23" s="209" t="n">
        <v>38.4</v>
      </c>
      <c r="L23" s="209" t="n">
        <v>0</v>
      </c>
      <c r="M23" s="209" t="s">
        <v>266</v>
      </c>
      <c r="N23" s="209" t="s">
        <v>266</v>
      </c>
    </row>
    <row r="24" customFormat="false" ht="18" hidden="false" customHeight="true" outlineLevel="0" collapsed="false">
      <c r="B24" s="206" t="s">
        <v>281</v>
      </c>
      <c r="C24" s="206" t="s">
        <v>22</v>
      </c>
      <c r="D24" s="89" t="s">
        <v>145</v>
      </c>
      <c r="E24" s="207" t="s">
        <v>287</v>
      </c>
      <c r="F24" s="64" t="n">
        <f aca="false">160/60</f>
        <v>2.66666666666667</v>
      </c>
      <c r="G24" s="208" t="n">
        <v>0.035</v>
      </c>
      <c r="H24" s="208" t="n">
        <f aca="false">HLOOKUP(G24,BDI!$D$19:$J$30,12,)</f>
        <v>0.242</v>
      </c>
      <c r="I24" s="209" t="n">
        <v>312.92</v>
      </c>
      <c r="J24" s="209" t="n">
        <v>312.92</v>
      </c>
      <c r="K24" s="209" t="n">
        <v>0</v>
      </c>
      <c r="L24" s="209" t="n">
        <v>0</v>
      </c>
      <c r="M24" s="209" t="s">
        <v>266</v>
      </c>
      <c r="N24" s="209" t="s">
        <v>266</v>
      </c>
    </row>
    <row r="25" customFormat="false" ht="18" hidden="false" customHeight="true" outlineLevel="0" collapsed="false">
      <c r="B25" s="206" t="s">
        <v>281</v>
      </c>
      <c r="C25" s="206" t="s">
        <v>22</v>
      </c>
      <c r="D25" s="98" t="s">
        <v>146</v>
      </c>
      <c r="E25" s="207" t="s">
        <v>288</v>
      </c>
      <c r="F25" s="64" t="n">
        <f aca="false">219*2/60</f>
        <v>7.3</v>
      </c>
      <c r="G25" s="208" t="n">
        <v>0.05</v>
      </c>
      <c r="H25" s="208" t="n">
        <f aca="false">HLOOKUP(G25,BDI!$D$19:$J$30,12,)</f>
        <v>0.2624</v>
      </c>
      <c r="I25" s="209" t="n">
        <v>2820.21</v>
      </c>
      <c r="J25" s="209" t="n">
        <v>2820.21</v>
      </c>
      <c r="K25" s="209" t="n">
        <v>0</v>
      </c>
      <c r="L25" s="209" t="n">
        <v>0</v>
      </c>
      <c r="M25" s="209" t="s">
        <v>269</v>
      </c>
      <c r="N25" s="209" t="s">
        <v>269</v>
      </c>
    </row>
    <row r="26" customFormat="false" ht="18" hidden="false" customHeight="true" outlineLevel="0" collapsed="false">
      <c r="B26" s="206" t="s">
        <v>281</v>
      </c>
      <c r="C26" s="206" t="s">
        <v>22</v>
      </c>
      <c r="D26" s="89" t="s">
        <v>147</v>
      </c>
      <c r="E26" s="210" t="s">
        <v>289</v>
      </c>
      <c r="F26" s="64" t="n">
        <f aca="false">144/60</f>
        <v>2.4</v>
      </c>
      <c r="G26" s="208" t="n">
        <v>0.05</v>
      </c>
      <c r="H26" s="208" t="n">
        <f aca="false">HLOOKUP(G26,BDI!$D$19:$J$30,12,)</f>
        <v>0.2624</v>
      </c>
      <c r="I26" s="209" t="n">
        <v>334.4</v>
      </c>
      <c r="J26" s="209" t="n">
        <v>296</v>
      </c>
      <c r="K26" s="209" t="n">
        <v>38.4</v>
      </c>
      <c r="L26" s="209" t="n">
        <v>0</v>
      </c>
      <c r="M26" s="209" t="s">
        <v>266</v>
      </c>
      <c r="N26" s="209" t="s">
        <v>266</v>
      </c>
    </row>
    <row r="27" customFormat="false" ht="18" hidden="false" customHeight="true" outlineLevel="0" collapsed="false">
      <c r="B27" s="206" t="s">
        <v>281</v>
      </c>
      <c r="C27" s="206" t="s">
        <v>22</v>
      </c>
      <c r="D27" s="89" t="s">
        <v>148</v>
      </c>
      <c r="E27" s="207" t="s">
        <v>290</v>
      </c>
      <c r="F27" s="64" t="n">
        <f aca="false">216/60</f>
        <v>3.6</v>
      </c>
      <c r="G27" s="208" t="n">
        <v>0.05</v>
      </c>
      <c r="H27" s="208" t="n">
        <f aca="false">HLOOKUP(G27,BDI!$D$19:$J$30,12,)</f>
        <v>0.2624</v>
      </c>
      <c r="I27" s="209" t="n">
        <v>334.4</v>
      </c>
      <c r="J27" s="209" t="n">
        <v>296</v>
      </c>
      <c r="K27" s="209" t="n">
        <v>38.4</v>
      </c>
      <c r="L27" s="209" t="n">
        <v>0</v>
      </c>
      <c r="M27" s="209" t="s">
        <v>266</v>
      </c>
      <c r="N27" s="209" t="s">
        <v>266</v>
      </c>
    </row>
    <row r="28" customFormat="false" ht="18" hidden="false" customHeight="true" outlineLevel="0" collapsed="false">
      <c r="B28" s="206" t="s">
        <v>281</v>
      </c>
      <c r="C28" s="206" t="s">
        <v>22</v>
      </c>
      <c r="D28" s="98" t="s">
        <v>149</v>
      </c>
      <c r="E28" s="207" t="s">
        <v>291</v>
      </c>
      <c r="F28" s="64" t="n">
        <f aca="false">239*2/60</f>
        <v>7.96666666666667</v>
      </c>
      <c r="G28" s="208" t="n">
        <v>0.02</v>
      </c>
      <c r="H28" s="208" t="n">
        <f aca="false">HLOOKUP(G28,BDI!$D$19:$J$30,12,)</f>
        <v>0.2223</v>
      </c>
      <c r="I28" s="209" t="n">
        <v>1166.84</v>
      </c>
      <c r="J28" s="209" t="n">
        <v>1166.84</v>
      </c>
      <c r="K28" s="209" t="n">
        <v>0</v>
      </c>
      <c r="L28" s="209" t="n">
        <v>0</v>
      </c>
      <c r="M28" s="209" t="s">
        <v>266</v>
      </c>
      <c r="N28" s="209" t="s">
        <v>266</v>
      </c>
    </row>
    <row r="29" customFormat="false" ht="18" hidden="false" customHeight="true" outlineLevel="0" collapsed="false">
      <c r="B29" s="206" t="s">
        <v>281</v>
      </c>
      <c r="C29" s="206" t="s">
        <v>22</v>
      </c>
      <c r="D29" s="98" t="s">
        <v>150</v>
      </c>
      <c r="E29" s="207" t="s">
        <v>292</v>
      </c>
      <c r="F29" s="64" t="n">
        <f aca="false">248*2/60</f>
        <v>8.26666666666667</v>
      </c>
      <c r="G29" s="208" t="n">
        <v>0.02</v>
      </c>
      <c r="H29" s="208" t="n">
        <f aca="false">HLOOKUP(G29,BDI!$D$19:$J$30,12,)</f>
        <v>0.2223</v>
      </c>
      <c r="I29" s="209" t="n">
        <v>334.4</v>
      </c>
      <c r="J29" s="209" t="n">
        <v>296</v>
      </c>
      <c r="K29" s="209" t="n">
        <v>38.4</v>
      </c>
      <c r="L29" s="209" t="n">
        <v>0</v>
      </c>
      <c r="M29" s="209" t="s">
        <v>266</v>
      </c>
      <c r="N29" s="209" t="s">
        <v>266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14" activeCellId="0" sqref="P14"/>
    </sheetView>
  </sheetViews>
  <sheetFormatPr defaultColWidth="10.25781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11" width="15.62"/>
    <col collapsed="false" customWidth="true" hidden="false" outlineLevel="0" max="3" min="3" style="211" width="35.88"/>
    <col collapsed="false" customWidth="true" hidden="false" outlineLevel="0" max="4" min="4" style="50" width="11"/>
    <col collapsed="false" customWidth="true" hidden="false" outlineLevel="0" max="1024" min="1024" style="1" width="8.5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12" t="s">
        <v>293</v>
      </c>
      <c r="C2" s="212"/>
      <c r="D2" s="212"/>
      <c r="E2" s="212"/>
      <c r="F2" s="212"/>
      <c r="G2" s="212"/>
      <c r="H2" s="212"/>
      <c r="I2" s="212"/>
      <c r="J2" s="212"/>
    </row>
    <row r="3" customFormat="false" ht="19.5" hidden="false" customHeight="true" outlineLevel="0" collapsed="false">
      <c r="B3" s="213" t="str">
        <f aca="false">'Valor da Contratação'!B8</f>
        <v>NÃO DESONERADA</v>
      </c>
      <c r="C3" s="213"/>
      <c r="D3" s="213"/>
      <c r="E3" s="213"/>
      <c r="F3" s="213"/>
      <c r="G3" s="213"/>
      <c r="H3" s="213"/>
      <c r="I3" s="213"/>
      <c r="J3" s="213"/>
    </row>
    <row r="4" customFormat="false" ht="15" hidden="false" customHeight="true" outlineLevel="0" collapsed="false">
      <c r="B4" s="214"/>
      <c r="C4" s="214"/>
      <c r="D4" s="20"/>
    </row>
    <row r="5" customFormat="false" ht="15" hidden="false" customHeight="true" outlineLevel="0" collapsed="false">
      <c r="B5" s="215" t="s">
        <v>294</v>
      </c>
      <c r="C5" s="215"/>
      <c r="D5" s="215"/>
      <c r="E5" s="215"/>
      <c r="F5" s="215"/>
      <c r="G5" s="215"/>
      <c r="H5" s="215"/>
      <c r="I5" s="215"/>
      <c r="J5" s="215"/>
    </row>
    <row r="6" customFormat="false" ht="15" hidden="false" customHeight="true" outlineLevel="0" collapsed="false">
      <c r="B6" s="216"/>
      <c r="C6" s="2"/>
      <c r="D6" s="120"/>
      <c r="E6" s="120"/>
      <c r="J6" s="217"/>
    </row>
    <row r="7" customFormat="false" ht="15" hidden="false" customHeight="true" outlineLevel="0" collapsed="false">
      <c r="B7" s="218" t="s">
        <v>295</v>
      </c>
      <c r="C7" s="218"/>
      <c r="D7" s="218"/>
      <c r="E7" s="218"/>
      <c r="F7" s="218"/>
      <c r="G7" s="218"/>
      <c r="H7" s="218"/>
      <c r="I7" s="218"/>
      <c r="J7" s="218"/>
    </row>
    <row r="8" customFormat="false" ht="15" hidden="false" customHeight="true" outlineLevel="0" collapsed="false">
      <c r="B8" s="219"/>
      <c r="C8" s="220"/>
      <c r="D8" s="120"/>
      <c r="E8" s="120"/>
      <c r="J8" s="217"/>
    </row>
    <row r="9" customFormat="false" ht="15" hidden="false" customHeight="true" outlineLevel="0" collapsed="false">
      <c r="B9" s="221" t="s">
        <v>296</v>
      </c>
      <c r="C9" s="221"/>
      <c r="D9" s="221"/>
      <c r="E9" s="221"/>
      <c r="F9" s="221"/>
      <c r="G9" s="221"/>
      <c r="H9" s="221"/>
      <c r="I9" s="221"/>
      <c r="J9" s="221"/>
    </row>
    <row r="10" customFormat="false" ht="15" hidden="false" customHeight="true" outlineLevel="0" collapsed="false">
      <c r="B10" s="222" t="s">
        <v>297</v>
      </c>
      <c r="C10" s="222"/>
      <c r="D10" s="222"/>
      <c r="E10" s="222"/>
      <c r="F10" s="222"/>
      <c r="G10" s="222"/>
      <c r="H10" s="222"/>
      <c r="I10" s="222"/>
      <c r="J10" s="222"/>
    </row>
    <row r="11" customFormat="false" ht="15" hidden="false" customHeight="true" outlineLevel="0" collapsed="false">
      <c r="B11" s="222" t="s">
        <v>298</v>
      </c>
      <c r="C11" s="222"/>
      <c r="D11" s="222"/>
      <c r="E11" s="222"/>
      <c r="F11" s="222"/>
      <c r="G11" s="222"/>
      <c r="H11" s="222"/>
      <c r="I11" s="222"/>
      <c r="J11" s="222"/>
    </row>
    <row r="12" customFormat="false" ht="15" hidden="false" customHeight="true" outlineLevel="0" collapsed="false">
      <c r="B12" s="222" t="s">
        <v>299</v>
      </c>
      <c r="C12" s="222"/>
      <c r="D12" s="222"/>
      <c r="E12" s="222"/>
      <c r="F12" s="222"/>
      <c r="G12" s="222"/>
      <c r="H12" s="222"/>
      <c r="I12" s="222"/>
      <c r="J12" s="222"/>
    </row>
    <row r="13" customFormat="false" ht="15" hidden="false" customHeight="true" outlineLevel="0" collapsed="false">
      <c r="B13" s="222" t="s">
        <v>300</v>
      </c>
      <c r="C13" s="222"/>
      <c r="D13" s="222"/>
      <c r="E13" s="222"/>
      <c r="F13" s="222"/>
      <c r="G13" s="222"/>
      <c r="H13" s="222"/>
      <c r="I13" s="222"/>
      <c r="J13" s="222"/>
    </row>
    <row r="14" customFormat="false" ht="15" hidden="false" customHeight="true" outlineLevel="0" collapsed="false">
      <c r="B14" s="222" t="s">
        <v>301</v>
      </c>
      <c r="C14" s="222"/>
      <c r="D14" s="222"/>
      <c r="E14" s="222"/>
      <c r="F14" s="222"/>
      <c r="G14" s="222"/>
      <c r="H14" s="222"/>
      <c r="I14" s="222"/>
      <c r="J14" s="222"/>
    </row>
    <row r="15" customFormat="false" ht="15" hidden="false" customHeight="true" outlineLevel="0" collapsed="false">
      <c r="B15" s="222" t="s">
        <v>302</v>
      </c>
      <c r="C15" s="222"/>
      <c r="D15" s="222"/>
      <c r="E15" s="222"/>
      <c r="F15" s="222"/>
      <c r="G15" s="222"/>
      <c r="H15" s="222"/>
      <c r="I15" s="222"/>
      <c r="J15" s="222"/>
    </row>
    <row r="16" customFormat="false" ht="15" hidden="false" customHeight="true" outlineLevel="0" collapsed="false">
      <c r="B16" s="223" t="s">
        <v>303</v>
      </c>
      <c r="C16" s="223"/>
      <c r="D16" s="223"/>
      <c r="E16" s="223"/>
      <c r="F16" s="223"/>
      <c r="G16" s="223"/>
      <c r="H16" s="223"/>
      <c r="I16" s="223"/>
      <c r="J16" s="223"/>
    </row>
    <row r="17" customFormat="false" ht="24.75" hidden="false" customHeight="true" outlineLevel="0" collapsed="false">
      <c r="D17" s="20"/>
    </row>
    <row r="18" customFormat="false" ht="16.5" hidden="false" customHeight="true" outlineLevel="0" collapsed="false">
      <c r="B18" s="32" t="s">
        <v>304</v>
      </c>
      <c r="C18" s="32"/>
      <c r="D18" s="224" t="s">
        <v>258</v>
      </c>
      <c r="E18" s="224" t="s">
        <v>258</v>
      </c>
      <c r="F18" s="224" t="s">
        <v>258</v>
      </c>
      <c r="G18" s="225" t="s">
        <v>258</v>
      </c>
      <c r="H18" s="226" t="s">
        <v>258</v>
      </c>
      <c r="I18" s="226" t="s">
        <v>258</v>
      </c>
      <c r="J18" s="226" t="s">
        <v>258</v>
      </c>
    </row>
    <row r="19" customFormat="false" ht="16.5" hidden="false" customHeight="true" outlineLevel="0" collapsed="false">
      <c r="B19" s="32"/>
      <c r="C19" s="32"/>
      <c r="D19" s="227" t="n">
        <v>0.05</v>
      </c>
      <c r="E19" s="227" t="n">
        <v>0.04</v>
      </c>
      <c r="F19" s="227" t="n">
        <v>0.035</v>
      </c>
      <c r="G19" s="228" t="n">
        <v>0.03</v>
      </c>
      <c r="H19" s="229" t="n">
        <v>0.025</v>
      </c>
      <c r="I19" s="229" t="n">
        <v>0.02</v>
      </c>
      <c r="J19" s="229" t="n">
        <v>0.015</v>
      </c>
    </row>
    <row r="20" customFormat="false" ht="16.5" hidden="false" customHeight="true" outlineLevel="0" collapsed="false">
      <c r="B20" s="230" t="s">
        <v>305</v>
      </c>
      <c r="C20" s="231" t="s">
        <v>306</v>
      </c>
      <c r="D20" s="232" t="n">
        <v>0.04</v>
      </c>
      <c r="E20" s="232" t="n">
        <v>0.04</v>
      </c>
      <c r="F20" s="232" t="n">
        <v>0.04</v>
      </c>
      <c r="G20" s="232" t="n">
        <v>0.04</v>
      </c>
      <c r="H20" s="232" t="n">
        <v>0.04</v>
      </c>
      <c r="I20" s="232" t="n">
        <v>0.04</v>
      </c>
      <c r="J20" s="232" t="n">
        <v>0.04</v>
      </c>
    </row>
    <row r="21" customFormat="false" ht="16.5" hidden="false" customHeight="true" outlineLevel="0" collapsed="false">
      <c r="B21" s="230" t="s">
        <v>307</v>
      </c>
      <c r="C21" s="206" t="s">
        <v>308</v>
      </c>
      <c r="D21" s="233" t="n">
        <v>0.0123</v>
      </c>
      <c r="E21" s="233" t="n">
        <v>0.0123</v>
      </c>
      <c r="F21" s="233" t="n">
        <v>0.0123</v>
      </c>
      <c r="G21" s="233" t="n">
        <v>0.0123</v>
      </c>
      <c r="H21" s="233" t="n">
        <v>0.0123</v>
      </c>
      <c r="I21" s="233" t="n">
        <v>0.0123</v>
      </c>
      <c r="J21" s="233" t="n">
        <v>0.0123</v>
      </c>
    </row>
    <row r="22" customFormat="false" ht="16.5" hidden="false" customHeight="true" outlineLevel="0" collapsed="false">
      <c r="B22" s="230" t="s">
        <v>309</v>
      </c>
      <c r="C22" s="206" t="s">
        <v>310</v>
      </c>
      <c r="D22" s="233" t="n">
        <v>0.008</v>
      </c>
      <c r="E22" s="233" t="n">
        <v>0.008</v>
      </c>
      <c r="F22" s="233" t="n">
        <v>0.008</v>
      </c>
      <c r="G22" s="233" t="n">
        <v>0.008</v>
      </c>
      <c r="H22" s="233" t="n">
        <v>0.008</v>
      </c>
      <c r="I22" s="233" t="n">
        <v>0.008</v>
      </c>
      <c r="J22" s="233" t="n">
        <v>0.008</v>
      </c>
    </row>
    <row r="23" customFormat="false" ht="16.5" hidden="false" customHeight="true" outlineLevel="0" collapsed="false">
      <c r="B23" s="230" t="s">
        <v>311</v>
      </c>
      <c r="C23" s="206" t="s">
        <v>312</v>
      </c>
      <c r="D23" s="233" t="n">
        <v>0.0127</v>
      </c>
      <c r="E23" s="233" t="n">
        <v>0.0127</v>
      </c>
      <c r="F23" s="233" t="n">
        <v>0.0127</v>
      </c>
      <c r="G23" s="233" t="n">
        <v>0.0127</v>
      </c>
      <c r="H23" s="233" t="n">
        <v>0.0127</v>
      </c>
      <c r="I23" s="233" t="n">
        <v>0.0127</v>
      </c>
      <c r="J23" s="233" t="n">
        <v>0.0127</v>
      </c>
    </row>
    <row r="24" customFormat="false" ht="16.5" hidden="false" customHeight="true" outlineLevel="0" collapsed="false">
      <c r="B24" s="230" t="s">
        <v>313</v>
      </c>
      <c r="C24" s="206" t="s">
        <v>314</v>
      </c>
      <c r="D24" s="233" t="n">
        <v>0.074</v>
      </c>
      <c r="E24" s="233" t="n">
        <v>0.074</v>
      </c>
      <c r="F24" s="233" t="n">
        <v>0.074</v>
      </c>
      <c r="G24" s="233" t="n">
        <v>0.074</v>
      </c>
      <c r="H24" s="233" t="n">
        <v>0.074</v>
      </c>
      <c r="I24" s="233" t="n">
        <v>0.074</v>
      </c>
      <c r="J24" s="233" t="n">
        <v>0.074</v>
      </c>
    </row>
    <row r="25" customFormat="false" ht="16.5" hidden="false" customHeight="true" outlineLevel="0" collapsed="false">
      <c r="B25" s="230" t="s">
        <v>203</v>
      </c>
      <c r="C25" s="206" t="s">
        <v>315</v>
      </c>
      <c r="D25" s="233" t="n">
        <v>0.0065</v>
      </c>
      <c r="E25" s="233" t="n">
        <v>0.0065</v>
      </c>
      <c r="F25" s="233" t="n">
        <v>0.0065</v>
      </c>
      <c r="G25" s="233" t="n">
        <v>0.0065</v>
      </c>
      <c r="H25" s="233" t="n">
        <v>0.0065</v>
      </c>
      <c r="I25" s="233" t="n">
        <v>0.0065</v>
      </c>
      <c r="J25" s="233" t="n">
        <v>0.0065</v>
      </c>
    </row>
    <row r="26" customFormat="false" ht="16.5" hidden="false" customHeight="true" outlineLevel="0" collapsed="false">
      <c r="B26" s="230"/>
      <c r="C26" s="230" t="s">
        <v>316</v>
      </c>
      <c r="D26" s="234" t="n">
        <v>0.03</v>
      </c>
      <c r="E26" s="234" t="n">
        <v>0.03</v>
      </c>
      <c r="F26" s="234" t="n">
        <v>0.03</v>
      </c>
      <c r="G26" s="234" t="n">
        <v>0.03</v>
      </c>
      <c r="H26" s="234" t="n">
        <v>0.03</v>
      </c>
      <c r="I26" s="234" t="n">
        <v>0.03</v>
      </c>
      <c r="J26" s="234" t="n">
        <v>0.03</v>
      </c>
    </row>
    <row r="27" customFormat="false" ht="16.5" hidden="false" customHeight="true" outlineLevel="0" collapsed="false">
      <c r="B27" s="230"/>
      <c r="C27" s="230" t="s">
        <v>258</v>
      </c>
      <c r="D27" s="234" t="n">
        <v>0.05</v>
      </c>
      <c r="E27" s="234" t="n">
        <v>0.04</v>
      </c>
      <c r="F27" s="233" t="n">
        <v>0.035</v>
      </c>
      <c r="G27" s="234" t="n">
        <v>0.03</v>
      </c>
      <c r="H27" s="234" t="n">
        <v>0.025</v>
      </c>
      <c r="I27" s="234" t="n">
        <v>0.02</v>
      </c>
      <c r="J27" s="233" t="n">
        <v>0.015</v>
      </c>
    </row>
    <row r="28" customFormat="false" ht="16.5" hidden="false" customHeight="true" outlineLevel="0" collapsed="false">
      <c r="B28" s="230"/>
      <c r="C28" s="230" t="s">
        <v>317</v>
      </c>
      <c r="D28" s="234" t="n">
        <v>0</v>
      </c>
      <c r="E28" s="234" t="n">
        <v>0</v>
      </c>
      <c r="F28" s="233" t="n">
        <v>0</v>
      </c>
      <c r="G28" s="234" t="n">
        <v>0</v>
      </c>
      <c r="H28" s="234" t="n">
        <v>0</v>
      </c>
      <c r="I28" s="234" t="n">
        <v>0</v>
      </c>
      <c r="J28" s="233" t="n">
        <v>0</v>
      </c>
    </row>
    <row r="29" customFormat="false" ht="19.5" hidden="false" customHeight="true" outlineLevel="0" collapsed="false">
      <c r="B29" s="118" t="s">
        <v>318</v>
      </c>
      <c r="C29" s="118"/>
      <c r="D29" s="235" t="n">
        <f aca="false">(((1+D22+D20+D23)*(1+D21)*(1+D24))/(1-(D25+D26+D27+D28))-1)</f>
        <v>0.262401597307061</v>
      </c>
      <c r="E29" s="235" t="n">
        <f aca="false">(((1+E22+E20+E23)*(1+E21)*(1+E24))/(1-(E25+E26+E27+E28))-1)</f>
        <v>0.248731845305902</v>
      </c>
      <c r="F29" s="235" t="n">
        <f aca="false">(((1+F22+F20+F23)*(1+F21)*(1+F24))/(1-(F25+F26+F27+F28))-1)</f>
        <v>0.24200738733441</v>
      </c>
      <c r="G29" s="235" t="n">
        <f aca="false">(((1+G22+G20+G23)*(1+G21)*(1+G24))/(1-(G25+G26+G27+G28))-1)</f>
        <v>0.235354964263524</v>
      </c>
      <c r="H29" s="235" t="n">
        <f aca="false">(((1+H22+H20+H23)*(1+H21)*(1+H24))/(1-(H25+H26+H27+H28))-1)</f>
        <v>0.22877342476292</v>
      </c>
      <c r="I29" s="235" t="n">
        <f aca="false">(((1+I22+I20+I23)*(1+I21)*(1+I24))/(1-(I25+I26+I27+I28))-1)</f>
        <v>0.22226164190779</v>
      </c>
      <c r="J29" s="235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36" t="s">
        <v>319</v>
      </c>
      <c r="C30" s="236"/>
      <c r="D30" s="237" t="n">
        <f aca="false">ROUND(D29,4)</f>
        <v>0.2624</v>
      </c>
      <c r="E30" s="237" t="n">
        <f aca="false">ROUND(E29,4)</f>
        <v>0.2487</v>
      </c>
      <c r="F30" s="237" t="n">
        <f aca="false">ROUND(F29,4)</f>
        <v>0.242</v>
      </c>
      <c r="G30" s="237" t="n">
        <f aca="false">ROUND(G29,4)</f>
        <v>0.2354</v>
      </c>
      <c r="H30" s="237" t="n">
        <f aca="false">ROUND(H29,4)</f>
        <v>0.2288</v>
      </c>
      <c r="I30" s="237" t="n">
        <f aca="false">ROUND(I29,4)</f>
        <v>0.2223</v>
      </c>
      <c r="J30" s="237" t="n">
        <f aca="false">ROUND(J29,4)</f>
        <v>0.2158</v>
      </c>
    </row>
    <row r="31" customFormat="false" ht="24.75" hidden="false" customHeight="true" outlineLevel="0" collapsed="false">
      <c r="B31" s="238"/>
      <c r="C31" s="238"/>
      <c r="D31" s="84"/>
      <c r="E31" s="84"/>
      <c r="F31" s="84"/>
      <c r="G31" s="84"/>
      <c r="H31" s="84"/>
      <c r="I31" s="84"/>
      <c r="J31" s="84"/>
    </row>
    <row r="32" customFormat="false" ht="16.5" hidden="false" customHeight="true" outlineLevel="0" collapsed="false">
      <c r="B32" s="32" t="s">
        <v>320</v>
      </c>
      <c r="C32" s="32"/>
      <c r="D32" s="224" t="s">
        <v>258</v>
      </c>
      <c r="E32" s="224" t="s">
        <v>258</v>
      </c>
      <c r="F32" s="224" t="s">
        <v>258</v>
      </c>
      <c r="G32" s="225" t="s">
        <v>258</v>
      </c>
      <c r="H32" s="226" t="s">
        <v>258</v>
      </c>
      <c r="I32" s="226" t="s">
        <v>258</v>
      </c>
      <c r="J32" s="226" t="s">
        <v>258</v>
      </c>
    </row>
    <row r="33" customFormat="false" ht="16.5" hidden="false" customHeight="true" outlineLevel="0" collapsed="false">
      <c r="B33" s="32"/>
      <c r="C33" s="32"/>
      <c r="D33" s="227" t="n">
        <v>0.05</v>
      </c>
      <c r="E33" s="227" t="n">
        <v>0.04</v>
      </c>
      <c r="F33" s="227" t="n">
        <v>0.035</v>
      </c>
      <c r="G33" s="228" t="n">
        <v>0.03</v>
      </c>
      <c r="H33" s="229" t="n">
        <v>0.025</v>
      </c>
      <c r="I33" s="229" t="n">
        <v>0.02</v>
      </c>
      <c r="J33" s="229" t="n">
        <v>0.015</v>
      </c>
    </row>
    <row r="34" customFormat="false" ht="16.5" hidden="false" customHeight="true" outlineLevel="0" collapsed="false">
      <c r="B34" s="230" t="s">
        <v>305</v>
      </c>
      <c r="C34" s="231" t="s">
        <v>306</v>
      </c>
      <c r="D34" s="233" t="n">
        <v>0.0345</v>
      </c>
      <c r="E34" s="233" t="n">
        <v>0.0345</v>
      </c>
      <c r="F34" s="233" t="n">
        <v>0.0345</v>
      </c>
      <c r="G34" s="233" t="n">
        <v>0.0345</v>
      </c>
      <c r="H34" s="233" t="n">
        <v>0.0345</v>
      </c>
      <c r="I34" s="233" t="n">
        <v>0.0345</v>
      </c>
      <c r="J34" s="233" t="n">
        <v>0.0345</v>
      </c>
    </row>
    <row r="35" customFormat="false" ht="16.5" hidden="false" customHeight="true" outlineLevel="0" collapsed="false">
      <c r="B35" s="230" t="s">
        <v>307</v>
      </c>
      <c r="C35" s="206" t="s">
        <v>308</v>
      </c>
      <c r="D35" s="233" t="n">
        <v>0.0085</v>
      </c>
      <c r="E35" s="233" t="n">
        <v>0.0085</v>
      </c>
      <c r="F35" s="233" t="n">
        <v>0.0085</v>
      </c>
      <c r="G35" s="233" t="n">
        <v>0.0085</v>
      </c>
      <c r="H35" s="233" t="n">
        <v>0.0085</v>
      </c>
      <c r="I35" s="233" t="n">
        <v>0.0085</v>
      </c>
      <c r="J35" s="233" t="n">
        <v>0.0085</v>
      </c>
    </row>
    <row r="36" customFormat="false" ht="16.5" hidden="false" customHeight="true" outlineLevel="0" collapsed="false">
      <c r="B36" s="230" t="s">
        <v>309</v>
      </c>
      <c r="C36" s="206" t="s">
        <v>310</v>
      </c>
      <c r="D36" s="233" t="n">
        <v>0.0048</v>
      </c>
      <c r="E36" s="233" t="n">
        <v>0.0048</v>
      </c>
      <c r="F36" s="233" t="n">
        <v>0.0048</v>
      </c>
      <c r="G36" s="233" t="n">
        <v>0.0048</v>
      </c>
      <c r="H36" s="233" t="n">
        <v>0.0048</v>
      </c>
      <c r="I36" s="233" t="n">
        <v>0.0048</v>
      </c>
      <c r="J36" s="233" t="n">
        <v>0.0048</v>
      </c>
    </row>
    <row r="37" customFormat="false" ht="16.5" hidden="false" customHeight="true" outlineLevel="0" collapsed="false">
      <c r="B37" s="230" t="s">
        <v>311</v>
      </c>
      <c r="C37" s="206" t="s">
        <v>312</v>
      </c>
      <c r="D37" s="233" t="n">
        <v>0.0085</v>
      </c>
      <c r="E37" s="233" t="n">
        <v>0.0085</v>
      </c>
      <c r="F37" s="233" t="n">
        <v>0.0085</v>
      </c>
      <c r="G37" s="233" t="n">
        <v>0.0085</v>
      </c>
      <c r="H37" s="233" t="n">
        <v>0.0085</v>
      </c>
      <c r="I37" s="233" t="n">
        <v>0.0085</v>
      </c>
      <c r="J37" s="233" t="n">
        <v>0.0085</v>
      </c>
    </row>
    <row r="38" customFormat="false" ht="16.5" hidden="false" customHeight="true" outlineLevel="0" collapsed="false">
      <c r="B38" s="230" t="s">
        <v>313</v>
      </c>
      <c r="C38" s="206" t="s">
        <v>314</v>
      </c>
      <c r="D38" s="233" t="n">
        <v>0.0511</v>
      </c>
      <c r="E38" s="233" t="n">
        <v>0.0511</v>
      </c>
      <c r="F38" s="233" t="n">
        <v>0.0511</v>
      </c>
      <c r="G38" s="233" t="n">
        <v>0.0511</v>
      </c>
      <c r="H38" s="233" t="n">
        <v>0.0511</v>
      </c>
      <c r="I38" s="233" t="n">
        <v>0.0511</v>
      </c>
      <c r="J38" s="233" t="n">
        <v>0.0511</v>
      </c>
    </row>
    <row r="39" customFormat="false" ht="16.5" hidden="false" customHeight="true" outlineLevel="0" collapsed="false">
      <c r="B39" s="230" t="s">
        <v>203</v>
      </c>
      <c r="C39" s="206" t="s">
        <v>315</v>
      </c>
      <c r="D39" s="233" t="n">
        <v>0.0065</v>
      </c>
      <c r="E39" s="233" t="n">
        <v>0.0065</v>
      </c>
      <c r="F39" s="233" t="n">
        <v>0.0065</v>
      </c>
      <c r="G39" s="233" t="n">
        <v>0.0065</v>
      </c>
      <c r="H39" s="233" t="n">
        <v>0.0065</v>
      </c>
      <c r="I39" s="233" t="n">
        <v>0.0065</v>
      </c>
      <c r="J39" s="233" t="n">
        <v>0.0065</v>
      </c>
    </row>
    <row r="40" customFormat="false" ht="16.5" hidden="false" customHeight="true" outlineLevel="0" collapsed="false">
      <c r="B40" s="230"/>
      <c r="C40" s="230" t="s">
        <v>316</v>
      </c>
      <c r="D40" s="234" t="n">
        <v>0.03</v>
      </c>
      <c r="E40" s="234" t="n">
        <v>0.03</v>
      </c>
      <c r="F40" s="234" t="n">
        <v>0.03</v>
      </c>
      <c r="G40" s="234" t="n">
        <v>0.03</v>
      </c>
      <c r="H40" s="234" t="n">
        <v>0.03</v>
      </c>
      <c r="I40" s="234" t="n">
        <v>0.03</v>
      </c>
      <c r="J40" s="234" t="n">
        <v>0.03</v>
      </c>
    </row>
    <row r="41" customFormat="false" ht="16.5" hidden="false" customHeight="true" outlineLevel="0" collapsed="false">
      <c r="B41" s="230"/>
      <c r="C41" s="230" t="s">
        <v>258</v>
      </c>
      <c r="D41" s="234" t="n">
        <v>0</v>
      </c>
      <c r="E41" s="234" t="n">
        <v>0</v>
      </c>
      <c r="F41" s="233" t="n">
        <v>0</v>
      </c>
      <c r="G41" s="234" t="n">
        <v>0</v>
      </c>
      <c r="H41" s="234" t="n">
        <v>0</v>
      </c>
      <c r="I41" s="234" t="n">
        <v>0</v>
      </c>
      <c r="J41" s="233" t="n">
        <v>0</v>
      </c>
    </row>
    <row r="42" customFormat="false" ht="16.5" hidden="false" customHeight="true" outlineLevel="0" collapsed="false">
      <c r="B42" s="230"/>
      <c r="C42" s="230" t="s">
        <v>317</v>
      </c>
      <c r="D42" s="234" t="n">
        <v>0</v>
      </c>
      <c r="E42" s="234" t="n">
        <v>0</v>
      </c>
      <c r="F42" s="233" t="n">
        <v>0</v>
      </c>
      <c r="G42" s="234" t="n">
        <v>0</v>
      </c>
      <c r="H42" s="234" t="n">
        <v>0</v>
      </c>
      <c r="I42" s="234" t="n">
        <v>0</v>
      </c>
      <c r="J42" s="233" t="n">
        <v>0</v>
      </c>
    </row>
    <row r="43" customFormat="false" ht="16.5" hidden="false" customHeight="true" outlineLevel="0" collapsed="false">
      <c r="B43" s="239" t="s">
        <v>318</v>
      </c>
      <c r="C43" s="239"/>
      <c r="D43" s="235" t="n">
        <f aca="false">(((1+D36+D34+D37)*(1+D35)*(1+D38))/(1-(D39+D40+D41+D42))-1)</f>
        <v>0.152780479429164</v>
      </c>
      <c r="E43" s="235" t="n">
        <f aca="false">(((1+E36+E34+E37)*(1+E35)*(1+E38))/(1-(E39+E40+E41+E42))-1)</f>
        <v>0.152780479429164</v>
      </c>
      <c r="F43" s="235" t="n">
        <f aca="false">(((1+F36+F34+F37)*(1+F35)*(1+F38))/(1-(F39+F40+F41+F42))-1)</f>
        <v>0.152780479429164</v>
      </c>
      <c r="G43" s="235" t="n">
        <f aca="false">(((1+G36+G34+G37)*(1+G35)*(1+G38))/(1-(G39+G40+G41+G42))-1)</f>
        <v>0.152780479429164</v>
      </c>
      <c r="H43" s="235" t="n">
        <f aca="false">(((1+H36+H34+H37)*(1+H35)*(1+H38))/(1-(H39+H40+H41+H42))-1)</f>
        <v>0.152780479429164</v>
      </c>
      <c r="I43" s="235" t="n">
        <f aca="false">(((1+I36+I34+I37)*(1+I35)*(1+I38))/(1-(I39+I40+I41+I42))-1)</f>
        <v>0.152780479429164</v>
      </c>
      <c r="J43" s="235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40" t="s">
        <v>319</v>
      </c>
      <c r="C44" s="240"/>
      <c r="D44" s="237" t="n">
        <f aca="false">ROUND(D43,4)</f>
        <v>0.1528</v>
      </c>
      <c r="E44" s="237" t="n">
        <f aca="false">ROUND(E43,4)</f>
        <v>0.1528</v>
      </c>
      <c r="F44" s="237" t="n">
        <f aca="false">ROUND(F43,4)</f>
        <v>0.1528</v>
      </c>
      <c r="G44" s="237" t="n">
        <f aca="false">ROUND(G43,4)</f>
        <v>0.1528</v>
      </c>
      <c r="H44" s="237" t="n">
        <f aca="false">ROUND(H43,4)</f>
        <v>0.1528</v>
      </c>
      <c r="I44" s="237" t="n">
        <f aca="false">ROUND(I43,4)</f>
        <v>0.1528</v>
      </c>
      <c r="J44" s="237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8.5"/>
    <col collapsed="false" customWidth="true" hidden="false" outlineLevel="0" max="2" min="2" style="1" width="32.38"/>
    <col collapsed="false" customWidth="true" hidden="false" outlineLevel="0" max="3" min="3" style="16" width="9.12"/>
    <col collapsed="false" customWidth="true" hidden="false" outlineLevel="0" max="4" min="4" style="16" width="12.25"/>
    <col collapsed="false" customWidth="true" hidden="false" outlineLevel="0" max="5" min="5" style="16" width="13.62"/>
    <col collapsed="false" customWidth="true" hidden="false" outlineLevel="0" max="6" min="6" style="16" width="7"/>
    <col collapsed="false" customWidth="true" hidden="false" outlineLevel="0" max="7" min="7" style="16" width="11.88"/>
    <col collapsed="false" customWidth="true" hidden="false" outlineLevel="0" max="8" min="8" style="16" width="13.25"/>
    <col collapsed="false" customWidth="true" hidden="false" outlineLevel="0" max="9" min="9" style="16" width="12.76"/>
    <col collapsed="false" customWidth="true" hidden="false" outlineLevel="0" max="11" min="10" style="16" width="13"/>
    <col collapsed="false" customWidth="true" hidden="false" outlineLevel="0" max="13" min="12" style="16" width="9.25"/>
    <col collapsed="false" customWidth="true" hidden="false" outlineLevel="0" max="248" min="14" style="16" width="10.62"/>
    <col collapsed="false" customWidth="true" hidden="false" outlineLevel="0" max="1024" min="1019" style="1" width="8.5"/>
  </cols>
  <sheetData>
    <row r="2" customFormat="false" ht="24.75" hidden="false" customHeight="true" outlineLevel="0" collapsed="false">
      <c r="B2" s="42" t="str">
        <f aca="false">"DIVISÃO DOS CUSTOS POR ALÍQUOTA DE ISSQN - "&amp;'Valor da Contratação'!B7&amp;""</f>
        <v>DIVISÃO DOS CUSTOS POR ALÍQUOTA DE ISSQN - POLO II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customFormat="false" ht="16.5" hidden="false" customHeight="true" outlineLevel="0" collapsed="false"/>
    <row r="4" customFormat="false" ht="45.75" hidden="false" customHeight="true" outlineLevel="0" collapsed="false">
      <c r="B4" s="241" t="s">
        <v>41</v>
      </c>
      <c r="C4" s="242" t="s">
        <v>321</v>
      </c>
      <c r="D4" s="242" t="s">
        <v>322</v>
      </c>
      <c r="E4" s="242" t="s">
        <v>323</v>
      </c>
      <c r="F4" s="243"/>
      <c r="G4" s="242" t="s">
        <v>324</v>
      </c>
      <c r="H4" s="242" t="s">
        <v>325</v>
      </c>
      <c r="I4" s="242" t="s">
        <v>326</v>
      </c>
      <c r="J4" s="242" t="s">
        <v>327</v>
      </c>
      <c r="K4" s="242" t="s">
        <v>328</v>
      </c>
      <c r="L4" s="242" t="s">
        <v>329</v>
      </c>
      <c r="M4" s="242" t="s">
        <v>330</v>
      </c>
    </row>
    <row r="5" customFormat="false" ht="15" hidden="false" customHeight="true" outlineLevel="0" collapsed="false">
      <c r="B5" s="112" t="str">
        <f aca="false">'Base Londrina'!B7</f>
        <v>APS ADJ LONDRINA</v>
      </c>
      <c r="C5" s="244" t="n">
        <f aca="false">VLOOKUP(B5,Unidades!$D$5:$G$29,4,)</f>
        <v>0.05</v>
      </c>
      <c r="D5" s="245" t="n">
        <f aca="false">'Base Londrina'!AD7*12+'Base Londrina'!AE7*4+'Base Londrina'!AF7*2+'Base Londrina'!AG7</f>
        <v>8178.1982086559</v>
      </c>
      <c r="E5" s="245" t="n">
        <f aca="false">'Base Londrina'!AK7*12+'Base Londrina'!AL7*4+'Base Londrina'!AM7*2+'Base Londrina'!AN7</f>
        <v>10324.1574186072</v>
      </c>
      <c r="G5" s="234" t="n">
        <v>0.02</v>
      </c>
      <c r="H5" s="246" t="n">
        <f aca="false">SUMIF(C$5:C$29,G5,D$5:D$29)</f>
        <v>33436.3811535304</v>
      </c>
      <c r="I5" s="246" t="n">
        <f aca="false">SUMIF(C$5:C$29,G5,E$5:E$29)</f>
        <v>40869.2886839602</v>
      </c>
      <c r="J5" s="246" t="n">
        <f aca="false">H5*4</f>
        <v>133745.524614122</v>
      </c>
      <c r="K5" s="246" t="n">
        <f aca="false">I5*4</f>
        <v>163477.154735841</v>
      </c>
      <c r="L5" s="247" t="n">
        <f aca="false">H5/H$13</f>
        <v>0.100886960715445</v>
      </c>
      <c r="M5" s="247" t="n">
        <f aca="false">I5/I$13</f>
        <v>0.098469475116717</v>
      </c>
    </row>
    <row r="6" customFormat="false" ht="15" hidden="false" customHeight="true" outlineLevel="0" collapsed="false">
      <c r="B6" s="112" t="str">
        <f aca="false">'Base Londrina'!B8</f>
        <v>APS ANDIRÁ</v>
      </c>
      <c r="C6" s="244" t="n">
        <f aca="false">VLOOKUP(B6,Unidades!$D$5:$G$29,4,)</f>
        <v>0.03</v>
      </c>
      <c r="D6" s="245" t="n">
        <f aca="false">'Base Londrina'!AD8*12+'Base Londrina'!AE8*4+'Base Londrina'!AF8*2+'Base Londrina'!AG8</f>
        <v>10589.4182086559</v>
      </c>
      <c r="E6" s="245" t="n">
        <f aca="false">'Base Londrina'!AK8*12+'Base Londrina'!AL8*4+'Base Londrina'!AM8*2+'Base Londrina'!AN8</f>
        <v>13082.1672549735</v>
      </c>
      <c r="G6" s="234" t="n">
        <v>0.025</v>
      </c>
      <c r="H6" s="246" t="n">
        <f aca="false">SUMIF(C$5:C$29,G6,D$5:D$29)</f>
        <v>15094.0340754403</v>
      </c>
      <c r="I6" s="246" t="n">
        <f aca="false">SUMIF(C$5:C$29,G6,E$5:E$29)</f>
        <v>18547.5490719011</v>
      </c>
      <c r="J6" s="246" t="n">
        <f aca="false">H6*4</f>
        <v>60376.1363017613</v>
      </c>
      <c r="K6" s="246" t="n">
        <f aca="false">I6*4</f>
        <v>74190.1962876043</v>
      </c>
      <c r="L6" s="247" t="n">
        <f aca="false">H6/H$13</f>
        <v>0.0455429436521347</v>
      </c>
      <c r="M6" s="247" t="n">
        <f aca="false">I6/I$13</f>
        <v>0.0446880158824109</v>
      </c>
    </row>
    <row r="7" customFormat="false" ht="15" hidden="false" customHeight="true" outlineLevel="0" collapsed="false">
      <c r="B7" s="112" t="str">
        <f aca="false">'Base Londrina'!B9</f>
        <v>APS APUCARANA</v>
      </c>
      <c r="C7" s="244" t="n">
        <f aca="false">VLOOKUP(B7,Unidades!$D$5:$G$29,4,)</f>
        <v>0.025</v>
      </c>
      <c r="D7" s="245" t="n">
        <f aca="false">'Base Londrina'!AD9*12+'Base Londrina'!AE9*4+'Base Londrina'!AF9*2+'Base Londrina'!AG9</f>
        <v>15094.0340754403</v>
      </c>
      <c r="E7" s="245" t="n">
        <f aca="false">'Base Londrina'!AK9*12+'Base Londrina'!AL9*4+'Base Londrina'!AM9*2+'Base Londrina'!AN9</f>
        <v>18547.5490719011</v>
      </c>
      <c r="G7" s="234" t="n">
        <v>0.03</v>
      </c>
      <c r="H7" s="246" t="n">
        <f aca="false">SUMIF(C$5:C$29,G7,D$5:D$29)</f>
        <v>46925.8933346236</v>
      </c>
      <c r="I7" s="246" t="n">
        <f aca="false">SUMIF(C$5:C$29,G7,E$5:E$29)</f>
        <v>57972.248625594</v>
      </c>
      <c r="J7" s="246" t="n">
        <f aca="false">H7*4</f>
        <v>187703.573338494</v>
      </c>
      <c r="K7" s="246" t="n">
        <f aca="false">I7*4</f>
        <v>231888.994502376</v>
      </c>
      <c r="L7" s="247" t="n">
        <f aca="false">H7/H$13</f>
        <v>0.141588610790419</v>
      </c>
      <c r="M7" s="247" t="n">
        <f aca="false">I7/I$13</f>
        <v>0.139676932907776</v>
      </c>
    </row>
    <row r="8" customFormat="false" ht="15" hidden="false" customHeight="true" outlineLevel="0" collapsed="false">
      <c r="B8" s="112" t="str">
        <f aca="false">'Base Londrina'!B10</f>
        <v>APS ARAPONGAS</v>
      </c>
      <c r="C8" s="244" t="n">
        <f aca="false">VLOOKUP(B8,Unidades!$D$5:$G$29,4,)</f>
        <v>0.05</v>
      </c>
      <c r="D8" s="245" t="n">
        <f aca="false">'Base Londrina'!AD10*12+'Base Londrina'!AE10*4+'Base Londrina'!AF10*2+'Base Londrina'!AG10</f>
        <v>9486.42820865589</v>
      </c>
      <c r="E8" s="245" t="n">
        <f aca="false">'Base Londrina'!AK10*12+'Base Londrina'!AL10*4+'Base Londrina'!AM10*2+'Base Londrina'!AN10</f>
        <v>11975.6669706072</v>
      </c>
      <c r="G8" s="234" t="n">
        <v>0.035</v>
      </c>
      <c r="H8" s="246" t="n">
        <f aca="false">SUMIF(C$5:C$29,G8,D$5:D$29)</f>
        <v>11260.1032086559</v>
      </c>
      <c r="I8" s="246" t="n">
        <f aca="false">SUMIF(C$5:C$29,G8,E$5:E$29)</f>
        <v>13985.0481851506</v>
      </c>
      <c r="J8" s="246" t="n">
        <f aca="false">H8*4</f>
        <v>45040.4128346236</v>
      </c>
      <c r="K8" s="246" t="n">
        <f aca="false">I8*4</f>
        <v>55940.1927406025</v>
      </c>
      <c r="L8" s="247" t="n">
        <f aca="false">H8/H$13</f>
        <v>0.0339748965310373</v>
      </c>
      <c r="M8" s="247" t="n">
        <f aca="false">I8/I$13</f>
        <v>0.0336952366585778</v>
      </c>
    </row>
    <row r="9" s="29" customFormat="true" ht="15" hidden="false" customHeight="true" outlineLevel="0" collapsed="false">
      <c r="B9" s="112" t="str">
        <f aca="false">'Base Londrina'!B11</f>
        <v>APS BANDEIRANTES</v>
      </c>
      <c r="C9" s="244" t="n">
        <f aca="false">VLOOKUP(B9,Unidades!$D$5:$G$29,4,)</f>
        <v>0.05</v>
      </c>
      <c r="D9" s="245" t="n">
        <f aca="false">'Base Londrina'!AD11*12+'Base Londrina'!AE11*4+'Base Londrina'!AF11*2+'Base Londrina'!AG11</f>
        <v>11467.7771608822</v>
      </c>
      <c r="E9" s="245" t="n">
        <f aca="false">'Base Londrina'!AK11*12+'Base Londrina'!AL11*4+'Base Londrina'!AM11*2+'Base Londrina'!AN11</f>
        <v>14476.9218878977</v>
      </c>
      <c r="G9" s="234" t="n">
        <v>0.04</v>
      </c>
      <c r="H9" s="246" t="n">
        <f aca="false">SUMIF(C$5:C$29,G9,D$5:D$29)</f>
        <v>0</v>
      </c>
      <c r="I9" s="246" t="n">
        <f aca="false">SUMIF(C$5:C$29,G9,E$5:E$29)</f>
        <v>0</v>
      </c>
      <c r="J9" s="246" t="n">
        <f aca="false">H9*4</f>
        <v>0</v>
      </c>
      <c r="K9" s="246" t="n">
        <f aca="false">I9*4</f>
        <v>0</v>
      </c>
      <c r="L9" s="247" t="n">
        <f aca="false">H9/H$13</f>
        <v>0</v>
      </c>
      <c r="M9" s="247" t="n">
        <f aca="false">I9/I$13</f>
        <v>0</v>
      </c>
      <c r="IO9" s="33"/>
    </row>
    <row r="10" s="29" customFormat="true" ht="15" hidden="false" customHeight="true" outlineLevel="0" collapsed="false">
      <c r="B10" s="112" t="str">
        <f aca="false">'Base Londrina'!B12</f>
        <v>APS CAMBARÁ</v>
      </c>
      <c r="C10" s="244" t="n">
        <f aca="false">VLOOKUP(B10,Unidades!$D$5:$G$29,4,)</f>
        <v>0.03</v>
      </c>
      <c r="D10" s="245" t="n">
        <f aca="false">'Base Londrina'!AD12*12+'Base Londrina'!AE12*4+'Base Londrina'!AF12*2+'Base Londrina'!AG12</f>
        <v>10589.4182086559</v>
      </c>
      <c r="E10" s="245" t="n">
        <f aca="false">'Base Londrina'!AK12*12+'Base Londrina'!AL12*4+'Base Londrina'!AM12*2+'Base Londrina'!AN12</f>
        <v>13082.1672549735</v>
      </c>
      <c r="G10" s="234" t="n">
        <v>0.045</v>
      </c>
      <c r="H10" s="246" t="n">
        <f aca="false">SUMIF(C$5:C$29,G10,D$5:D$29)</f>
        <v>0</v>
      </c>
      <c r="I10" s="246" t="n">
        <f aca="false">SUMIF(C$5:C$29,G10,E$5:E$29)</f>
        <v>0</v>
      </c>
      <c r="J10" s="246" t="n">
        <f aca="false">H10*4</f>
        <v>0</v>
      </c>
      <c r="K10" s="246" t="n">
        <f aca="false">I10*4</f>
        <v>0</v>
      </c>
      <c r="L10" s="247" t="n">
        <f aca="false">H10/H$13</f>
        <v>0</v>
      </c>
      <c r="M10" s="247" t="n">
        <f aca="false">I10/I$13</f>
        <v>0</v>
      </c>
      <c r="IO10" s="33"/>
    </row>
    <row r="11" customFormat="false" ht="15" hidden="false" customHeight="true" outlineLevel="0" collapsed="false">
      <c r="B11" s="112" t="str">
        <f aca="false">'Base Londrina'!B13</f>
        <v>APS CAMBÉ</v>
      </c>
      <c r="C11" s="244" t="n">
        <f aca="false">VLOOKUP(B11,Unidades!$D$5:$G$29,4,)</f>
        <v>0.05</v>
      </c>
      <c r="D11" s="245" t="n">
        <f aca="false">'Base Londrina'!AD13*12+'Base Londrina'!AE13*4+'Base Londrina'!AF13*2+'Base Londrina'!AG13</f>
        <v>8800.6072086559</v>
      </c>
      <c r="E11" s="245" t="n">
        <f aca="false">'Base Londrina'!AK13*12+'Base Londrina'!AL13*4+'Base Londrina'!AM13*2+'Base Londrina'!AN13</f>
        <v>11109.8865402072</v>
      </c>
      <c r="G11" s="234" t="n">
        <v>0.05</v>
      </c>
      <c r="H11" s="246" t="n">
        <f aca="false">SUMIF(C$5:C$29,G11,D$5:D$29)</f>
        <v>224707.79722775</v>
      </c>
      <c r="I11" s="246" t="n">
        <f aca="false">SUMIF(C$5:C$29,G11,E$5:E$29)</f>
        <v>283671.123220311</v>
      </c>
      <c r="J11" s="246" t="n">
        <f aca="false">H11*4</f>
        <v>898831.188910999</v>
      </c>
      <c r="K11" s="246" t="n">
        <f aca="false">I11*4</f>
        <v>1134684.49288125</v>
      </c>
      <c r="L11" s="247" t="n">
        <f aca="false">H11/H$13</f>
        <v>0.678006588310964</v>
      </c>
      <c r="M11" s="247" t="n">
        <f aca="false">I11/I$13</f>
        <v>0.683470339434518</v>
      </c>
    </row>
    <row r="12" customFormat="false" ht="15" hidden="false" customHeight="true" outlineLevel="0" collapsed="false">
      <c r="B12" s="112" t="str">
        <f aca="false">'Base Londrina'!B14</f>
        <v>APS CORNÉLIO PROCÓPIO</v>
      </c>
      <c r="C12" s="244" t="n">
        <f aca="false">VLOOKUP(B12,Unidades!$D$5:$G$29,4,)</f>
        <v>0.05</v>
      </c>
      <c r="D12" s="245" t="n">
        <f aca="false">'Base Londrina'!AD14*12+'Base Londrina'!AE14*4+'Base Londrina'!AF14*2+'Base Londrina'!AG14</f>
        <v>15791.6795754403</v>
      </c>
      <c r="E12" s="245" t="n">
        <f aca="false">'Base Londrina'!AK14*12+'Base Londrina'!AL14*4+'Base Londrina'!AM14*2+'Base Londrina'!AN14</f>
        <v>19935.4162960359</v>
      </c>
      <c r="G12" s="17"/>
    </row>
    <row r="13" s="16" customFormat="true" ht="15" hidden="false" customHeight="true" outlineLevel="0" collapsed="false">
      <c r="B13" s="112" t="str">
        <f aca="false">'Base Londrina'!B15</f>
        <v>APS JACAREZINHO</v>
      </c>
      <c r="C13" s="244" t="n">
        <f aca="false">VLOOKUP(B13,Unidades!$D$5:$G$29,4,)</f>
        <v>0.05</v>
      </c>
      <c r="D13" s="245" t="n">
        <f aca="false">'Base Londrina'!AD15*12+'Base Londrina'!AE15*4+'Base Londrina'!AF15*2+'Base Londrina'!AG15</f>
        <v>17045.0765754403</v>
      </c>
      <c r="E13" s="245" t="n">
        <f aca="false">'Base Londrina'!AK15*12+'Base Londrina'!AL15*4+'Base Londrina'!AM15*2+'Base Londrina'!AN15</f>
        <v>21517.7046688359</v>
      </c>
      <c r="G13" s="242" t="s">
        <v>102</v>
      </c>
      <c r="H13" s="248" t="n">
        <f aca="false">SUM(H5:H11)</f>
        <v>331424.209</v>
      </c>
      <c r="I13" s="248" t="n">
        <f aca="false">SUM(I5:I11)</f>
        <v>415045.257786917</v>
      </c>
      <c r="J13" s="248" t="n">
        <f aca="false">SUM(J5:J11)</f>
        <v>1325696.836</v>
      </c>
      <c r="K13" s="248" t="n">
        <f aca="false">SUM(K5:K11)</f>
        <v>1660181.03114767</v>
      </c>
      <c r="L13" s="249" t="n">
        <f aca="false">SUM(L5:L11)</f>
        <v>1</v>
      </c>
      <c r="M13" s="249" t="n">
        <f aca="false">SUM(M5:M11)</f>
        <v>1</v>
      </c>
    </row>
    <row r="14" s="16" customFormat="true" ht="15" hidden="false" customHeight="true" outlineLevel="0" collapsed="false">
      <c r="B14" s="112" t="str">
        <f aca="false">'Base Londrina'!B16</f>
        <v>APS LONDRINA-CENTRO</v>
      </c>
      <c r="C14" s="244" t="n">
        <f aca="false">VLOOKUP(B14,Unidades!$D$5:$G$29,4,)</f>
        <v>0.05</v>
      </c>
      <c r="D14" s="245" t="n">
        <f aca="false">'Base Londrina'!AD16*12+'Base Londrina'!AE16*4+'Base Londrina'!AF16*2+'Base Londrina'!AG16</f>
        <v>12440.304123214</v>
      </c>
      <c r="E14" s="245" t="n">
        <f aca="false">'Base Londrina'!AK16*12+'Base Londrina'!AL16*4+'Base Londrina'!AM16*2+'Base Londrina'!AN16</f>
        <v>15704.6399251454</v>
      </c>
    </row>
    <row r="15" s="16" customFormat="true" ht="15" hidden="false" customHeight="true" outlineLevel="0" collapsed="false">
      <c r="B15" s="112" t="str">
        <f aca="false">'Base Londrina'!B17</f>
        <v>APS LONDRINA-SHANGRILÁ</v>
      </c>
      <c r="C15" s="244" t="n">
        <f aca="false">VLOOKUP(B15,Unidades!$D$5:$G$29,4,)</f>
        <v>0.05</v>
      </c>
      <c r="D15" s="245" t="n">
        <f aca="false">'Base Londrina'!AD17*12+'Base Londrina'!AE17*4+'Base Londrina'!AF17*2+'Base Londrina'!AG17</f>
        <v>11164.3428392217</v>
      </c>
      <c r="E15" s="245" t="n">
        <f aca="false">'Base Londrina'!AK17*12+'Base Londrina'!AL17*4+'Base Londrina'!AM17*2+'Base Londrina'!AN17</f>
        <v>14093.8664002335</v>
      </c>
    </row>
    <row r="16" s="16" customFormat="true" ht="15" hidden="false" customHeight="true" outlineLevel="0" collapsed="false">
      <c r="B16" s="112" t="str">
        <f aca="false">'Base Londrina'!B18</f>
        <v>APS ROLÂNDIA</v>
      </c>
      <c r="C16" s="244" t="n">
        <f aca="false">VLOOKUP(B16,Unidades!$D$5:$G$29,4,)</f>
        <v>0.05</v>
      </c>
      <c r="D16" s="245" t="n">
        <f aca="false">'Base Londrina'!AD18*12+'Base Londrina'!AE18*4+'Base Londrina'!AF18*2+'Base Londrina'!AG18</f>
        <v>12748.7803971008</v>
      </c>
      <c r="E16" s="245" t="n">
        <f aca="false">'Base Londrina'!AK18*12+'Base Londrina'!AL18*4+'Base Londrina'!AM18*2+'Base Londrina'!AN18</f>
        <v>16094.0603733001</v>
      </c>
    </row>
    <row r="17" s="16" customFormat="true" ht="15" hidden="false" customHeight="true" outlineLevel="0" collapsed="false">
      <c r="B17" s="112" t="str">
        <f aca="false">'Base Londrina'!B19</f>
        <v>APS SANTO ANTÔNIO DA PLATINA</v>
      </c>
      <c r="C17" s="244" t="n">
        <f aca="false">VLOOKUP(B17,Unidades!$D$5:$G$29,4,)</f>
        <v>0.03</v>
      </c>
      <c r="D17" s="245" t="n">
        <f aca="false">'Base Londrina'!AD19*12+'Base Londrina'!AE19*4+'Base Londrina'!AF19*2+'Base Londrina'!AG19</f>
        <v>11437.4707086559</v>
      </c>
      <c r="E17" s="245" t="n">
        <f aca="false">'Base Londrina'!AK19*12+'Base Londrina'!AL19*4+'Base Londrina'!AM19*2+'Base Londrina'!AN19</f>
        <v>14129.8513134735</v>
      </c>
    </row>
    <row r="18" s="16" customFormat="true" ht="15" hidden="false" customHeight="true" outlineLevel="0" collapsed="false">
      <c r="B18" s="112" t="str">
        <f aca="false">'Base Londrina'!B20</f>
        <v>GEX LONDRINA</v>
      </c>
      <c r="C18" s="244" t="n">
        <f aca="false">VLOOKUP(B18,Unidades!$D$5:$G$29,4,)</f>
        <v>0.05</v>
      </c>
      <c r="D18" s="245" t="n">
        <f aca="false">'Base Londrina'!AD20*12+'Base Londrina'!AE20*4+'Base Londrina'!AF20*2+'Base Londrina'!AG20</f>
        <v>13533.2000754403</v>
      </c>
      <c r="E18" s="245" t="n">
        <f aca="false">'Base Londrina'!AK20*12+'Base Londrina'!AL20*4+'Base Londrina'!AM20*2+'Base Londrina'!AN20</f>
        <v>17084.3117752359</v>
      </c>
    </row>
    <row r="19" s="16" customFormat="true" ht="15" hidden="false" customHeight="true" outlineLevel="0" collapsed="false">
      <c r="B19" s="112" t="str">
        <f aca="false">'Base Londrina'!B21</f>
        <v>APS IBAITI</v>
      </c>
      <c r="C19" s="244" t="n">
        <f aca="false">VLOOKUP(B19,Unidades!$D$5:$G$29,4,)</f>
        <v>0.03</v>
      </c>
      <c r="D19" s="245" t="n">
        <f aca="false">'Base Londrina'!AD21*12+'Base Londrina'!AE21*4+'Base Londrina'!AF21*2+'Base Londrina'!AG21</f>
        <v>14309.5862086559</v>
      </c>
      <c r="E19" s="245" t="n">
        <f aca="false">'Base Londrina'!AK21*12+'Base Londrina'!AL21*4+'Base Londrina'!AM21*2+'Base Londrina'!AN21</f>
        <v>17678.0628021735</v>
      </c>
    </row>
    <row r="20" s="16" customFormat="true" ht="15" hidden="false" customHeight="true" outlineLevel="0" collapsed="false">
      <c r="B20" s="112" t="str">
        <f aca="false">'Base Guarapuava'!B7</f>
        <v>APS IVAIPORÃ</v>
      </c>
      <c r="C20" s="244" t="n">
        <f aca="false">VLOOKUP(B20,Unidades!$D$5:$G$29,4,)</f>
        <v>0.05</v>
      </c>
      <c r="D20" s="245" t="n">
        <f aca="false">'Base Guarapuava'!AD7*12+'Base Guarapuava'!AE7*4+'Base Guarapuava'!AF7*2+'Base Guarapuava'!AG7</f>
        <v>15208.2763971008</v>
      </c>
      <c r="E20" s="245" t="n">
        <f aca="false">'Base Guarapuava'!AK7*12+'Base Guarapuava'!AL7*4+'Base Guarapuava'!AM7*2+'Base Guarapuava'!AN7</f>
        <v>19198.9281237001</v>
      </c>
    </row>
    <row r="21" s="16" customFormat="true" ht="15" hidden="false" customHeight="true" outlineLevel="0" collapsed="false">
      <c r="B21" s="112" t="str">
        <f aca="false">'Base Guarapuava'!B8</f>
        <v>APS GUARAPUAVA</v>
      </c>
      <c r="C21" s="244" t="n">
        <f aca="false">VLOOKUP(B21,Unidades!$D$5:$G$29,4,)</f>
        <v>0.05</v>
      </c>
      <c r="D21" s="245" t="n">
        <f aca="false">'Base Guarapuava'!AD8*12+'Base Guarapuava'!AE8*4+'Base Guarapuava'!AF8*2+'Base Guarapuava'!AG8</f>
        <v>13533.2000754403</v>
      </c>
      <c r="E21" s="245" t="n">
        <f aca="false">'Base Guarapuava'!AK8*12+'Base Guarapuava'!AL8*4+'Base Guarapuava'!AM8*2+'Base Guarapuava'!AN8</f>
        <v>17084.3117752359</v>
      </c>
    </row>
    <row r="22" s="29" customFormat="true" ht="15" hidden="false" customHeight="true" outlineLevel="0" collapsed="false">
      <c r="B22" s="112" t="str">
        <f aca="false">'Base Guarapuava'!B9</f>
        <v>APS LARANJEIRAS DO SUL</v>
      </c>
      <c r="C22" s="244" t="n">
        <f aca="false">VLOOKUP(B22,Unidades!$D$5:$G$29,4,)</f>
        <v>0.05</v>
      </c>
      <c r="D22" s="245" t="n">
        <f aca="false">'Base Guarapuava'!AD9*12+'Base Guarapuava'!AE9*4+'Base Guarapuava'!AF9*2+'Base Guarapuava'!AG9</f>
        <v>10876.4682086559</v>
      </c>
      <c r="E22" s="245" t="n">
        <f aca="false">'Base Guarapuava'!AK9*12+'Base Guarapuava'!AL9*4+'Base Guarapuava'!AM9*2+'Base Guarapuava'!AN9</f>
        <v>13730.4534666072</v>
      </c>
    </row>
    <row r="23" s="16" customFormat="true" ht="15" hidden="false" customHeight="true" outlineLevel="0" collapsed="false">
      <c r="B23" s="112" t="str">
        <f aca="false">'Base Guarapuava'!B10</f>
        <v>APS PINHÃO</v>
      </c>
      <c r="C23" s="244" t="n">
        <f aca="false">VLOOKUP(B23,Unidades!$D$5:$G$29,4,)</f>
        <v>0.05</v>
      </c>
      <c r="D23" s="245" t="n">
        <f aca="false">'Base Guarapuava'!AD10*12+'Base Guarapuava'!AE10*4+'Base Guarapuava'!AF10*2+'Base Guarapuava'!AG10</f>
        <v>10876.4682086559</v>
      </c>
      <c r="E23" s="245" t="n">
        <f aca="false">'Base Guarapuava'!AK10*12+'Base Guarapuava'!AL10*4+'Base Guarapuava'!AM10*2+'Base Guarapuava'!AN10</f>
        <v>13730.4534666072</v>
      </c>
    </row>
    <row r="24" customFormat="false" ht="15" hidden="false" customHeight="true" outlineLevel="0" collapsed="false">
      <c r="B24" s="112" t="str">
        <f aca="false">'Base Guarapuava'!B11</f>
        <v>APS PITANGA</v>
      </c>
      <c r="C24" s="244" t="n">
        <f aca="false">VLOOKUP(B24,Unidades!$D$5:$G$29,4,)</f>
        <v>0.035</v>
      </c>
      <c r="D24" s="245" t="n">
        <f aca="false">'Base Guarapuava'!AD11*12+'Base Guarapuava'!AE11*4+'Base Guarapuava'!AF11*2+'Base Guarapuava'!AG11</f>
        <v>11260.1032086559</v>
      </c>
      <c r="E24" s="245" t="n">
        <f aca="false">'Base Guarapuava'!AK11*12+'Base Guarapuava'!AL11*4+'Base Guarapuava'!AM11*2+'Base Guarapuava'!AN11</f>
        <v>13985.0481851506</v>
      </c>
    </row>
    <row r="25" customFormat="false" ht="15" hidden="false" customHeight="true" outlineLevel="0" collapsed="false">
      <c r="B25" s="112" t="str">
        <f aca="false">'Base Guarapuava'!B12</f>
        <v>APS TELÊMACO BORBA</v>
      </c>
      <c r="C25" s="244" t="n">
        <f aca="false">VLOOKUP(B25,Unidades!$D$5:$G$29,4,)</f>
        <v>0.05</v>
      </c>
      <c r="D25" s="245" t="n">
        <f aca="false">'Base Guarapuava'!AD12*12+'Base Guarapuava'!AE12*4+'Base Guarapuava'!AF12*2+'Base Guarapuava'!AG12</f>
        <v>32538.9015478776</v>
      </c>
      <c r="E25" s="245" t="n">
        <f aca="false">'Base Guarapuava'!AK12*12+'Base Guarapuava'!AL12*4+'Base Guarapuava'!AM12*2+'Base Guarapuava'!AN12</f>
        <v>41077.1093140407</v>
      </c>
    </row>
    <row r="26" customFormat="false" ht="15" hidden="false" customHeight="true" outlineLevel="0" collapsed="false">
      <c r="B26" s="112" t="str">
        <f aca="false">'Base Guarapuava'!B13</f>
        <v>APS PRUDENTÓPOLIS</v>
      </c>
      <c r="C26" s="244" t="n">
        <f aca="false">VLOOKUP(B26,Unidades!$D$5:$G$29,4,)</f>
        <v>0.05</v>
      </c>
      <c r="D26" s="245" t="n">
        <f aca="false">'Base Guarapuava'!AD13*12+'Base Guarapuava'!AE13*4+'Base Guarapuava'!AF13*2+'Base Guarapuava'!AG13</f>
        <v>10509.0442086559</v>
      </c>
      <c r="E26" s="245" t="n">
        <f aca="false">'Base Guarapuava'!AK13*12+'Base Guarapuava'!AL13*4+'Base Guarapuava'!AM13*2+'Base Guarapuava'!AN13</f>
        <v>13266.6174090072</v>
      </c>
    </row>
    <row r="27" customFormat="false" ht="15" hidden="false" customHeight="true" outlineLevel="0" collapsed="false">
      <c r="B27" s="112" t="str">
        <f aca="false">'Base Guarapuava'!B14</f>
        <v>APS IMBITUVA</v>
      </c>
      <c r="C27" s="244" t="n">
        <f aca="false">VLOOKUP(B27,Unidades!$D$5:$G$29,4,)</f>
        <v>0.05</v>
      </c>
      <c r="D27" s="245" t="n">
        <f aca="false">'Base Guarapuava'!AD14*12+'Base Guarapuava'!AE14*4+'Base Guarapuava'!AF14*2+'Base Guarapuava'!AG14</f>
        <v>10509.0442086559</v>
      </c>
      <c r="E27" s="245" t="n">
        <f aca="false">'Base Guarapuava'!AK14*12+'Base Guarapuava'!AL14*4+'Base Guarapuava'!AM14*2+'Base Guarapuava'!AN14</f>
        <v>13266.6174090072</v>
      </c>
    </row>
    <row r="28" customFormat="false" ht="15" hidden="false" customHeight="true" outlineLevel="0" collapsed="false">
      <c r="B28" s="112" t="str">
        <f aca="false">'Base Guarapuava'!B15</f>
        <v>APS JAGUARIAIVA</v>
      </c>
      <c r="C28" s="244" t="n">
        <f aca="false">VLOOKUP(B28,Unidades!$D$5:$G$29,4,)</f>
        <v>0.02</v>
      </c>
      <c r="D28" s="245" t="n">
        <f aca="false">'Base Guarapuava'!AD15*12+'Base Guarapuava'!AE15*4+'Base Guarapuava'!AF15*2+'Base Guarapuava'!AG15</f>
        <v>18039.1229448745</v>
      </c>
      <c r="E28" s="245" t="n">
        <f aca="false">'Base Guarapuava'!AK15*12+'Base Guarapuava'!AL15*4+'Base Guarapuava'!AM15*2+'Base Guarapuava'!AN15</f>
        <v>22049.2199755201</v>
      </c>
    </row>
    <row r="29" customFormat="false" ht="15" hidden="false" customHeight="true" outlineLevel="0" collapsed="false">
      <c r="B29" s="112" t="str">
        <f aca="false">'Base Guarapuava'!B16</f>
        <v>APS ARAPOTI</v>
      </c>
      <c r="C29" s="244" t="n">
        <f aca="false">VLOOKUP(B29,Unidades!$D$5:$G$29,4,)</f>
        <v>0.02</v>
      </c>
      <c r="D29" s="245" t="n">
        <f aca="false">'Base Guarapuava'!AD16*12+'Base Guarapuava'!AE16*4+'Base Guarapuava'!AF16*2+'Base Guarapuava'!AG16</f>
        <v>15397.2582086559</v>
      </c>
      <c r="E29" s="245" t="n">
        <f aca="false">'Base Guarapuava'!AK16*12+'Base Guarapuava'!AL16*4+'Base Guarapuava'!AM16*2+'Base Guarapuava'!AN16</f>
        <v>18820.0687084401</v>
      </c>
    </row>
    <row r="30" customFormat="false" ht="13.5" hidden="false" customHeight="false" outlineLevel="0" collapsed="false">
      <c r="B30" s="241" t="s">
        <v>102</v>
      </c>
      <c r="C30" s="241"/>
      <c r="D30" s="250" t="n">
        <f aca="false">SUM(D5:D29)</f>
        <v>331424.209</v>
      </c>
      <c r="E30" s="250" t="n">
        <f aca="false">SUM(E5:E29)</f>
        <v>415045.257786917</v>
      </c>
    </row>
  </sheetData>
  <mergeCells count="2">
    <mergeCell ref="B2:M2"/>
    <mergeCell ref="B30:C30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P41"/>
  <sheetViews>
    <sheetView showFormulas="false" showGridLines="false" showRowColHeaders="true" showZeros="true" rightToLeft="false" tabSelected="false" showOutlineSymbols="true" defaultGridColor="true" view="normal" topLeftCell="A30" colorId="64" zoomScale="100" zoomScaleNormal="100" zoomScalePageLayoutView="100" workbookViewId="0">
      <selection pane="topLeft" activeCell="B46" activeCellId="0" sqref="B46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38"/>
    <col collapsed="false" customWidth="true" hidden="false" outlineLevel="0" max="4" min="3" style="16" width="14.75"/>
    <col collapsed="false" customWidth="true" hidden="false" outlineLevel="0" max="5" min="5" style="16" width="15.62"/>
    <col collapsed="false" customWidth="true" hidden="false" outlineLevel="0" max="6" min="6" style="16" width="13.76"/>
    <col collapsed="false" customWidth="true" hidden="false" outlineLevel="0" max="7" min="7" style="16" width="14.87"/>
    <col collapsed="false" customWidth="true" hidden="false" outlineLevel="0" max="8" min="8" style="16" width="14.38"/>
    <col collapsed="false" customWidth="true" hidden="false" outlineLevel="0" max="9" min="9" style="17" width="14"/>
    <col collapsed="false" customWidth="true" hidden="false" outlineLevel="0" max="10" min="10" style="16" width="14.87"/>
    <col collapsed="false" customWidth="true" hidden="false" outlineLevel="0" max="249" min="11" style="16" width="10.62"/>
    <col collapsed="false" customWidth="true" hidden="false" outlineLevel="0" max="1024" min="1020" style="1" width="8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"PLANILHA RESUMO "&amp;'Valor da Contratação'!B7&amp;""</f>
        <v>PLANILHA RESUMO POLO II</v>
      </c>
      <c r="C2" s="18"/>
      <c r="D2" s="18"/>
      <c r="E2" s="18"/>
      <c r="F2" s="18"/>
      <c r="G2" s="18"/>
      <c r="H2" s="18"/>
      <c r="I2" s="18"/>
      <c r="J2" s="19"/>
    </row>
    <row r="3" customFormat="false" ht="15" hidden="false" customHeight="true" outlineLevel="0" collapsed="false">
      <c r="B3" s="2"/>
      <c r="H3" s="2"/>
      <c r="I3" s="20"/>
    </row>
    <row r="4" customFormat="false" ht="46.5" hidden="false" customHeight="true" outlineLevel="0" collapsed="false">
      <c r="B4" s="21" t="s">
        <v>13</v>
      </c>
      <c r="C4" s="21" t="s">
        <v>14</v>
      </c>
      <c r="D4" s="21" t="s">
        <v>15</v>
      </c>
      <c r="E4" s="21" t="s">
        <v>16</v>
      </c>
      <c r="F4" s="21" t="s">
        <v>17</v>
      </c>
      <c r="G4" s="21" t="s">
        <v>18</v>
      </c>
      <c r="H4" s="21" t="s">
        <v>19</v>
      </c>
      <c r="I4" s="21" t="s">
        <v>20</v>
      </c>
    </row>
    <row r="5" customFormat="false" ht="19.5" hidden="false" customHeight="true" outlineLevel="0" collapsed="false">
      <c r="B5" s="22" t="s">
        <v>21</v>
      </c>
      <c r="C5" s="23" t="n">
        <f aca="false">'Base Londrina'!C22</f>
        <v>18068.29</v>
      </c>
      <c r="D5" s="24" t="n">
        <f aca="false">'Base Londrina'!AT10</f>
        <v>19069.7024961334</v>
      </c>
      <c r="E5" s="24" t="n">
        <f aca="false">D5*12</f>
        <v>228836.429953601</v>
      </c>
      <c r="F5" s="24" t="n">
        <f aca="false">'Base Londrina'!AT12</f>
        <v>57209.1074884002</v>
      </c>
      <c r="G5" s="24" t="n">
        <f aca="false">F5*12</f>
        <v>686509.289860803</v>
      </c>
      <c r="H5" s="24" t="n">
        <f aca="false">D5+F5</f>
        <v>76278.8099845336</v>
      </c>
      <c r="I5" s="24" t="n">
        <f aca="false">H5*12</f>
        <v>915345.719814404</v>
      </c>
    </row>
    <row r="6" customFormat="false" ht="19.5" hidden="false" customHeight="true" outlineLevel="0" collapsed="false">
      <c r="B6" s="22" t="s">
        <v>22</v>
      </c>
      <c r="C6" s="23" t="n">
        <f aca="false">'Base Guarapuava'!C17</f>
        <v>10254.3</v>
      </c>
      <c r="D6" s="24" t="n">
        <f aca="false">'Base Guarapuava'!AT10</f>
        <v>15517.402319443</v>
      </c>
      <c r="E6" s="24" t="n">
        <f aca="false">D6*12</f>
        <v>186208.827833316</v>
      </c>
      <c r="F6" s="24" t="n">
        <f aca="false">'Base Guarapuava'!AT12</f>
        <v>46552.2069583291</v>
      </c>
      <c r="G6" s="24" t="n">
        <f aca="false">F6*12</f>
        <v>558626.483499949</v>
      </c>
      <c r="H6" s="24" t="n">
        <f aca="false">D6+F6</f>
        <v>62069.6092777721</v>
      </c>
      <c r="I6" s="24" t="n">
        <f aca="false">H6*12</f>
        <v>744835.311333265</v>
      </c>
    </row>
    <row r="7" customFormat="false" ht="19.5" hidden="false" customHeight="true" outlineLevel="0" collapsed="false">
      <c r="B7" s="25" t="str">
        <f aca="false">"TOTAL "&amp;'Valor da Contratação'!B7&amp;""</f>
        <v>TOTAL POLO II</v>
      </c>
      <c r="C7" s="26" t="n">
        <f aca="false">SUM(C5:C6)</f>
        <v>28322.59</v>
      </c>
      <c r="D7" s="27" t="n">
        <f aca="false">SUM(D5:D6)</f>
        <v>34587.1048155764</v>
      </c>
      <c r="E7" s="27" t="n">
        <f aca="false">SUM(E5:E6)</f>
        <v>415045.257786917</v>
      </c>
      <c r="F7" s="27" t="n">
        <f aca="false">SUM(F5:F6)</f>
        <v>103761.314446729</v>
      </c>
      <c r="G7" s="27" t="n">
        <f aca="false">SUM(G5:G6)</f>
        <v>1245135.77336075</v>
      </c>
      <c r="H7" s="27" t="n">
        <f aca="false">SUM(H5:H6)</f>
        <v>138348.419262306</v>
      </c>
      <c r="I7" s="27" t="n">
        <f aca="false">SUM(I5:I6)</f>
        <v>1660181.03114767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28"/>
      <c r="H8" s="2"/>
      <c r="I8" s="20"/>
    </row>
    <row r="9" s="29" customFormat="true" ht="27" hidden="false" customHeight="true" outlineLevel="0" collapsed="false">
      <c r="B9" s="30" t="str">
        <f aca="false">"BASE "&amp;B5</f>
        <v>BASE LONDRINA</v>
      </c>
      <c r="C9" s="31" t="s">
        <v>23</v>
      </c>
      <c r="D9" s="31"/>
      <c r="E9" s="31"/>
      <c r="F9" s="31" t="s">
        <v>24</v>
      </c>
      <c r="G9" s="31"/>
      <c r="H9" s="31"/>
      <c r="I9" s="32" t="s">
        <v>25</v>
      </c>
      <c r="IP9" s="33"/>
    </row>
    <row r="10" s="29" customFormat="true" ht="22.5" hidden="false" customHeight="true" outlineLevel="0" collapsed="false">
      <c r="B10" s="30"/>
      <c r="C10" s="34" t="s">
        <v>26</v>
      </c>
      <c r="D10" s="34" t="s">
        <v>27</v>
      </c>
      <c r="E10" s="34" t="s">
        <v>28</v>
      </c>
      <c r="F10" s="35" t="s">
        <v>26</v>
      </c>
      <c r="G10" s="35" t="s">
        <v>27</v>
      </c>
      <c r="H10" s="35" t="s">
        <v>28</v>
      </c>
      <c r="I10" s="35" t="s">
        <v>29</v>
      </c>
      <c r="IP10" s="33"/>
    </row>
    <row r="11" customFormat="false" ht="16.5" hidden="false" customHeight="true" outlineLevel="0" collapsed="false">
      <c r="B11" s="22" t="str">
        <f aca="false">'Base Londrina'!B7</f>
        <v>APS ADJ LONDRINA</v>
      </c>
      <c r="C11" s="24" t="n">
        <f aca="false">'Base Londrina'!AO7</f>
        <v>860.3464515506</v>
      </c>
      <c r="D11" s="24" t="n">
        <f aca="false">C11*3</f>
        <v>2581.0393546518</v>
      </c>
      <c r="E11" s="24" t="n">
        <f aca="false">C11+D11</f>
        <v>3441.3858062024</v>
      </c>
      <c r="F11" s="24" t="n">
        <f aca="false">C11*12</f>
        <v>10324.1574186072</v>
      </c>
      <c r="G11" s="24" t="n">
        <f aca="false">F11*3</f>
        <v>30972.4722558216</v>
      </c>
      <c r="H11" s="24" t="n">
        <f aca="false">F11+G11</f>
        <v>41296.6296744288</v>
      </c>
      <c r="I11" s="36" t="n">
        <f aca="false">F11/$E$7</f>
        <v>0.0248747750393707</v>
      </c>
    </row>
    <row r="12" customFormat="false" ht="16.5" hidden="false" customHeight="true" outlineLevel="0" collapsed="false">
      <c r="B12" s="22" t="str">
        <f aca="false">'Base Londrina'!B8</f>
        <v>APS ANDIRÁ</v>
      </c>
      <c r="C12" s="24" t="n">
        <f aca="false">'Base Londrina'!AO8</f>
        <v>1090.18060458112</v>
      </c>
      <c r="D12" s="24" t="n">
        <f aca="false">C12*3</f>
        <v>3270.54181374337</v>
      </c>
      <c r="E12" s="24" t="n">
        <f aca="false">C12+D12</f>
        <v>4360.7224183245</v>
      </c>
      <c r="F12" s="24" t="n">
        <f aca="false">C12*12</f>
        <v>13082.1672549735</v>
      </c>
      <c r="G12" s="24" t="n">
        <f aca="false">F12*3</f>
        <v>39246.5017649205</v>
      </c>
      <c r="H12" s="24" t="n">
        <f aca="false">F12+G12</f>
        <v>52328.669019894</v>
      </c>
      <c r="I12" s="36" t="n">
        <f aca="false">F12/$E$7</f>
        <v>0.0315198571951636</v>
      </c>
    </row>
    <row r="13" customFormat="false" ht="16.5" hidden="false" customHeight="true" outlineLevel="0" collapsed="false">
      <c r="B13" s="22" t="str">
        <f aca="false">'Base Londrina'!B9</f>
        <v>APS APUCARANA</v>
      </c>
      <c r="C13" s="24" t="n">
        <f aca="false">'Base Londrina'!AO9</f>
        <v>1545.62908932509</v>
      </c>
      <c r="D13" s="24" t="n">
        <f aca="false">C13*3</f>
        <v>4636.88726797527</v>
      </c>
      <c r="E13" s="24" t="n">
        <f aca="false">C13+D13</f>
        <v>6182.51635730036</v>
      </c>
      <c r="F13" s="24" t="n">
        <f aca="false">C13*12</f>
        <v>18547.5490719011</v>
      </c>
      <c r="G13" s="24" t="n">
        <f aca="false">F13*3</f>
        <v>55642.6472157032</v>
      </c>
      <c r="H13" s="24" t="n">
        <f aca="false">F13+G13</f>
        <v>74190.1962876043</v>
      </c>
      <c r="I13" s="36" t="n">
        <f aca="false">F13/$E$7</f>
        <v>0.0446880158824109</v>
      </c>
    </row>
    <row r="14" customFormat="false" ht="16.5" hidden="false" customHeight="true" outlineLevel="0" collapsed="false">
      <c r="B14" s="22" t="str">
        <f aca="false">'Base Londrina'!B10</f>
        <v>APS ARAPONGAS</v>
      </c>
      <c r="C14" s="24" t="n">
        <f aca="false">'Base Londrina'!AO10</f>
        <v>997.9722475506</v>
      </c>
      <c r="D14" s="24" t="n">
        <f aca="false">C14*3</f>
        <v>2993.9167426518</v>
      </c>
      <c r="E14" s="24" t="n">
        <f aca="false">C14+D14</f>
        <v>3991.8889902024</v>
      </c>
      <c r="F14" s="24" t="n">
        <f aca="false">C14*12</f>
        <v>11975.6669706072</v>
      </c>
      <c r="G14" s="24" t="n">
        <f aca="false">F14*3</f>
        <v>35927.0009118216</v>
      </c>
      <c r="H14" s="24" t="n">
        <f aca="false">F14+G14</f>
        <v>47902.6678824288</v>
      </c>
      <c r="I14" s="36" t="n">
        <f aca="false">F14/$E$7</f>
        <v>0.0288538821873625</v>
      </c>
    </row>
    <row r="15" customFormat="false" ht="16.5" hidden="false" customHeight="true" outlineLevel="0" collapsed="false">
      <c r="B15" s="22" t="str">
        <f aca="false">'Base Londrina'!B11</f>
        <v>APS BANDEIRANTES</v>
      </c>
      <c r="C15" s="24" t="n">
        <f aca="false">'Base Londrina'!AO11</f>
        <v>1206.41015732481</v>
      </c>
      <c r="D15" s="24" t="n">
        <f aca="false">C15*3</f>
        <v>3619.23047197443</v>
      </c>
      <c r="E15" s="24" t="n">
        <f aca="false">C15+D15</f>
        <v>4825.64062929924</v>
      </c>
      <c r="F15" s="24" t="n">
        <f aca="false">C15*12</f>
        <v>14476.9218878977</v>
      </c>
      <c r="G15" s="24" t="n">
        <f aca="false">F15*3</f>
        <v>43430.7656636931</v>
      </c>
      <c r="H15" s="24" t="n">
        <f aca="false">F15+G15</f>
        <v>57907.6875515908</v>
      </c>
      <c r="I15" s="36" t="n">
        <f aca="false">F15/$E$7</f>
        <v>0.0348803452546134</v>
      </c>
    </row>
    <row r="16" customFormat="false" ht="16.5" hidden="false" customHeight="true" outlineLevel="0" collapsed="false">
      <c r="B16" s="22" t="str">
        <f aca="false">'Base Londrina'!B12</f>
        <v>APS CAMBARÁ</v>
      </c>
      <c r="C16" s="24" t="n">
        <f aca="false">'Base Londrina'!AO12</f>
        <v>1090.18060458112</v>
      </c>
      <c r="D16" s="24" t="n">
        <f aca="false">C16*3</f>
        <v>3270.54181374337</v>
      </c>
      <c r="E16" s="24" t="n">
        <f aca="false">C16+D16</f>
        <v>4360.7224183245</v>
      </c>
      <c r="F16" s="24" t="n">
        <f aca="false">C16*12</f>
        <v>13082.1672549735</v>
      </c>
      <c r="G16" s="24" t="n">
        <f aca="false">F16*3</f>
        <v>39246.5017649205</v>
      </c>
      <c r="H16" s="24" t="n">
        <f aca="false">F16+G16</f>
        <v>52328.669019894</v>
      </c>
      <c r="I16" s="36" t="n">
        <f aca="false">F16/$E$7</f>
        <v>0.0315198571951636</v>
      </c>
    </row>
    <row r="17" customFormat="false" ht="16.5" hidden="false" customHeight="true" outlineLevel="0" collapsed="false">
      <c r="B17" s="22" t="str">
        <f aca="false">'Base Londrina'!B13</f>
        <v>APS CAMBÉ</v>
      </c>
      <c r="C17" s="24" t="n">
        <f aca="false">'Base Londrina'!AO13</f>
        <v>925.8238783506</v>
      </c>
      <c r="D17" s="24" t="n">
        <f aca="false">C17*3</f>
        <v>2777.4716350518</v>
      </c>
      <c r="E17" s="24" t="n">
        <f aca="false">C17+D17</f>
        <v>3703.2955134024</v>
      </c>
      <c r="F17" s="24" t="n">
        <f aca="false">C17*12</f>
        <v>11109.8865402072</v>
      </c>
      <c r="G17" s="24" t="n">
        <f aca="false">F17*3</f>
        <v>33329.6596206216</v>
      </c>
      <c r="H17" s="24" t="n">
        <f aca="false">F17+G17</f>
        <v>44439.5461608288</v>
      </c>
      <c r="I17" s="36" t="n">
        <f aca="false">F17/$E$7</f>
        <v>0.0267678917702777</v>
      </c>
    </row>
    <row r="18" customFormat="false" ht="16.5" hidden="false" customHeight="true" outlineLevel="0" collapsed="false">
      <c r="B18" s="22" t="str">
        <f aca="false">'Base Londrina'!B14</f>
        <v>APS CORNÉLIO PROCÓPIO</v>
      </c>
      <c r="C18" s="24" t="n">
        <f aca="false">'Base Londrina'!AO14</f>
        <v>1661.28469133632</v>
      </c>
      <c r="D18" s="24" t="n">
        <f aca="false">C18*3</f>
        <v>4983.85407400897</v>
      </c>
      <c r="E18" s="24" t="n">
        <f aca="false">C18+D18</f>
        <v>6645.13876534529</v>
      </c>
      <c r="F18" s="24" t="n">
        <f aca="false">C18*12</f>
        <v>19935.4162960359</v>
      </c>
      <c r="G18" s="24" t="n">
        <f aca="false">F18*3</f>
        <v>59806.2488881076</v>
      </c>
      <c r="H18" s="24" t="n">
        <f aca="false">F18+G18</f>
        <v>79741.6651841435</v>
      </c>
      <c r="I18" s="36" t="n">
        <f aca="false">F18/$E$7</f>
        <v>0.0480319095857991</v>
      </c>
    </row>
    <row r="19" customFormat="false" ht="16.5" hidden="false" customHeight="true" outlineLevel="0" collapsed="false">
      <c r="B19" s="22" t="str">
        <f aca="false">'Base Londrina'!B15</f>
        <v>APS JACAREZINHO</v>
      </c>
      <c r="C19" s="24" t="n">
        <f aca="false">'Base Londrina'!AO15</f>
        <v>1793.14205573632</v>
      </c>
      <c r="D19" s="24" t="n">
        <f aca="false">C19*3</f>
        <v>5379.42616720897</v>
      </c>
      <c r="E19" s="24" t="n">
        <f aca="false">C19+D19</f>
        <v>7172.56822294529</v>
      </c>
      <c r="F19" s="24" t="n">
        <f aca="false">C19*12</f>
        <v>21517.7046688359</v>
      </c>
      <c r="G19" s="24" t="n">
        <f aca="false">F19*3</f>
        <v>64553.1140065076</v>
      </c>
      <c r="H19" s="24" t="n">
        <f aca="false">F19+G19</f>
        <v>86070.8186753435</v>
      </c>
      <c r="I19" s="36" t="n">
        <f aca="false">F19/$E$7</f>
        <v>0.0518442368997816</v>
      </c>
    </row>
    <row r="20" customFormat="false" ht="16.5" hidden="false" customHeight="true" outlineLevel="0" collapsed="false">
      <c r="B20" s="22" t="str">
        <f aca="false">'Base Londrina'!B16</f>
        <v>APS LONDRINA-CENTRO</v>
      </c>
      <c r="C20" s="24" t="n">
        <f aca="false">'Base Londrina'!AO16</f>
        <v>1308.71999376211</v>
      </c>
      <c r="D20" s="24" t="n">
        <f aca="false">C20*3</f>
        <v>3926.15998128634</v>
      </c>
      <c r="E20" s="24" t="n">
        <f aca="false">C20+D20</f>
        <v>5234.87997504845</v>
      </c>
      <c r="F20" s="24" t="n">
        <f aca="false">C20*12</f>
        <v>15704.6399251454</v>
      </c>
      <c r="G20" s="24" t="n">
        <f aca="false">F20*3</f>
        <v>47113.9197754361</v>
      </c>
      <c r="H20" s="24" t="n">
        <f aca="false">F20+G20</f>
        <v>62818.5597005815</v>
      </c>
      <c r="I20" s="36" t="n">
        <f aca="false">F20/$E$7</f>
        <v>0.0378383793827324</v>
      </c>
    </row>
    <row r="21" customFormat="false" ht="16.5" hidden="false" customHeight="true" outlineLevel="0" collapsed="false">
      <c r="B21" s="22" t="str">
        <f aca="false">'Base Londrina'!B17</f>
        <v>APS LONDRINA-SHANGRILÁ</v>
      </c>
      <c r="C21" s="24" t="n">
        <f aca="false">'Base Londrina'!AO17</f>
        <v>1174.48886668612</v>
      </c>
      <c r="D21" s="24" t="n">
        <f aca="false">C21*3</f>
        <v>3523.46660005837</v>
      </c>
      <c r="E21" s="24" t="n">
        <f aca="false">C21+D21</f>
        <v>4697.95546674449</v>
      </c>
      <c r="F21" s="24" t="n">
        <f aca="false">C21*12</f>
        <v>14093.8664002335</v>
      </c>
      <c r="G21" s="24" t="n">
        <f aca="false">F21*3</f>
        <v>42281.5992007004</v>
      </c>
      <c r="H21" s="24" t="n">
        <f aca="false">F21+G21</f>
        <v>56375.4656009339</v>
      </c>
      <c r="I21" s="36" t="n">
        <f aca="false">F21/$E$7</f>
        <v>0.0339574206325933</v>
      </c>
    </row>
    <row r="22" customFormat="false" ht="16.5" hidden="false" customHeight="true" outlineLevel="0" collapsed="false">
      <c r="B22" s="22" t="str">
        <f aca="false">'Base Londrina'!B18</f>
        <v>APS ROLÂNDIA</v>
      </c>
      <c r="C22" s="24" t="n">
        <f aca="false">'Base Londrina'!AO18</f>
        <v>1341.17169777501</v>
      </c>
      <c r="D22" s="24" t="n">
        <f aca="false">C22*3</f>
        <v>4023.51509332503</v>
      </c>
      <c r="E22" s="24" t="n">
        <f aca="false">C22+D22</f>
        <v>5364.68679110004</v>
      </c>
      <c r="F22" s="24" t="n">
        <f aca="false">C22*12</f>
        <v>16094.0603733001</v>
      </c>
      <c r="G22" s="24" t="n">
        <f aca="false">F22*3</f>
        <v>48282.1811199003</v>
      </c>
      <c r="H22" s="24" t="n">
        <f aca="false">F22+G22</f>
        <v>64376.2414932004</v>
      </c>
      <c r="I22" s="36" t="n">
        <f aca="false">F22/$E$7</f>
        <v>0.0387766395865261</v>
      </c>
    </row>
    <row r="23" customFormat="false" ht="16.5" hidden="false" customHeight="true" outlineLevel="0" collapsed="false">
      <c r="B23" s="22" t="str">
        <f aca="false">'Base Londrina'!B19</f>
        <v>APS SANTO ANTÔNIO DA PLATINA</v>
      </c>
      <c r="C23" s="24" t="n">
        <f aca="false">'Base Londrina'!AO19</f>
        <v>1177.48760945612</v>
      </c>
      <c r="D23" s="24" t="n">
        <f aca="false">C23*3</f>
        <v>3532.46282836837</v>
      </c>
      <c r="E23" s="24" t="n">
        <f aca="false">C23+D23</f>
        <v>4709.9504378245</v>
      </c>
      <c r="F23" s="24" t="n">
        <f aca="false">C23*12</f>
        <v>14129.8513134735</v>
      </c>
      <c r="G23" s="24" t="n">
        <f aca="false">F23*3</f>
        <v>42389.5539404205</v>
      </c>
      <c r="H23" s="24" t="n">
        <f aca="false">F23+G23</f>
        <v>56519.405253894</v>
      </c>
      <c r="I23" s="36" t="n">
        <f aca="false">F23/$E$7</f>
        <v>0.0340441218117175</v>
      </c>
    </row>
    <row r="24" customFormat="false" ht="16.5" hidden="false" customHeight="true" outlineLevel="0" collapsed="false">
      <c r="B24" s="22" t="str">
        <f aca="false">'Base Londrina'!B20</f>
        <v>GEX LONDRINA</v>
      </c>
      <c r="C24" s="24" t="n">
        <f aca="false">'Base Londrina'!AO20</f>
        <v>1423.69264793632</v>
      </c>
      <c r="D24" s="24" t="n">
        <f aca="false">C24*3</f>
        <v>4271.07794380897</v>
      </c>
      <c r="E24" s="24" t="n">
        <f aca="false">C24+D24</f>
        <v>5694.77059174529</v>
      </c>
      <c r="F24" s="24" t="n">
        <f aca="false">C24*12</f>
        <v>17084.3117752359</v>
      </c>
      <c r="G24" s="24" t="n">
        <f aca="false">F24*3</f>
        <v>51252.9353257076</v>
      </c>
      <c r="H24" s="24" t="n">
        <f aca="false">F24+G24</f>
        <v>68337.2471009435</v>
      </c>
      <c r="I24" s="36" t="n">
        <f aca="false">F24/$E$7</f>
        <v>0.0411625273502267</v>
      </c>
    </row>
    <row r="25" customFormat="false" ht="16.5" hidden="false" customHeight="true" outlineLevel="0" collapsed="false">
      <c r="B25" s="22" t="str">
        <f aca="false">'Base Londrina'!B21</f>
        <v>APS IBAITI</v>
      </c>
      <c r="C25" s="24" t="n">
        <f aca="false">'Base Londrina'!AO21</f>
        <v>1473.17190018112</v>
      </c>
      <c r="D25" s="24" t="n">
        <f aca="false">C25*3</f>
        <v>4419.51570054337</v>
      </c>
      <c r="E25" s="24" t="n">
        <f aca="false">C25+D25</f>
        <v>5892.6876007245</v>
      </c>
      <c r="F25" s="24" t="n">
        <f aca="false">C25*12</f>
        <v>17678.0628021735</v>
      </c>
      <c r="G25" s="24" t="n">
        <f aca="false">F25*3</f>
        <v>53034.1884065205</v>
      </c>
      <c r="H25" s="24" t="n">
        <f aca="false">F25+G25</f>
        <v>70712.251208694</v>
      </c>
      <c r="I25" s="36" t="n">
        <f aca="false">F25/$E$7</f>
        <v>0.0425930967057317</v>
      </c>
    </row>
    <row r="26" customFormat="false" ht="22.5" hidden="false" customHeight="true" outlineLevel="0" collapsed="false">
      <c r="B26" s="37" t="str">
        <f aca="false">"Total Base "&amp;B5</f>
        <v>Total Base LONDRINA</v>
      </c>
      <c r="C26" s="37" t="n">
        <f aca="false">SUM(C11:C25)</f>
        <v>19069.7024961334</v>
      </c>
      <c r="D26" s="37" t="n">
        <f aca="false">SUM(D11:D25)</f>
        <v>57209.1074884002</v>
      </c>
      <c r="E26" s="37" t="n">
        <f aca="false">SUM(E11:E25)</f>
        <v>76278.8099845336</v>
      </c>
      <c r="F26" s="37" t="n">
        <f aca="false">SUM(F11:F25)</f>
        <v>228836.429953601</v>
      </c>
      <c r="G26" s="37" t="n">
        <f aca="false">SUM(G11:G25)</f>
        <v>686509.289860803</v>
      </c>
      <c r="H26" s="37" t="n">
        <f aca="false">SUM(H11:H25)</f>
        <v>915345.719814404</v>
      </c>
      <c r="I26" s="38" t="n">
        <f aca="false">SUM(I11:I25)</f>
        <v>0.551352956479471</v>
      </c>
    </row>
    <row r="27" customFormat="false" ht="22.5" hidden="false" customHeight="true" outlineLevel="0" collapsed="false">
      <c r="B27" s="39"/>
      <c r="C27" s="39"/>
      <c r="D27" s="39"/>
      <c r="E27" s="39"/>
      <c r="F27" s="39"/>
      <c r="G27" s="39"/>
      <c r="H27" s="39"/>
      <c r="I27" s="40"/>
    </row>
    <row r="28" s="29" customFormat="true" ht="27.75" hidden="false" customHeight="true" outlineLevel="0" collapsed="false">
      <c r="B28" s="30" t="str">
        <f aca="false">"BASE "&amp;B6</f>
        <v>BASE GUARAPUAVA</v>
      </c>
      <c r="C28" s="31" t="s">
        <v>23</v>
      </c>
      <c r="D28" s="31"/>
      <c r="E28" s="31"/>
      <c r="F28" s="31" t="s">
        <v>24</v>
      </c>
      <c r="G28" s="31"/>
      <c r="H28" s="31"/>
      <c r="I28" s="32" t="s">
        <v>25</v>
      </c>
      <c r="IP28" s="33"/>
    </row>
    <row r="29" s="29" customFormat="true" ht="22.5" hidden="false" customHeight="true" outlineLevel="0" collapsed="false">
      <c r="B29" s="30"/>
      <c r="C29" s="34" t="s">
        <v>26</v>
      </c>
      <c r="D29" s="34" t="s">
        <v>27</v>
      </c>
      <c r="E29" s="34" t="s">
        <v>28</v>
      </c>
      <c r="F29" s="35" t="s">
        <v>26</v>
      </c>
      <c r="G29" s="35" t="s">
        <v>27</v>
      </c>
      <c r="H29" s="35" t="s">
        <v>28</v>
      </c>
      <c r="I29" s="35" t="s">
        <v>29</v>
      </c>
      <c r="IP29" s="33"/>
    </row>
    <row r="30" customFormat="false" ht="16.5" hidden="false" customHeight="true" outlineLevel="0" collapsed="false">
      <c r="B30" s="22" t="str">
        <f aca="false">'Base Guarapuava'!B7</f>
        <v>APS IVAIPORÃ</v>
      </c>
      <c r="C30" s="24" t="n">
        <f aca="false">'Base Guarapuava'!AO7</f>
        <v>1599.91067697501</v>
      </c>
      <c r="D30" s="24" t="n">
        <f aca="false">C30*3</f>
        <v>4799.73203092503</v>
      </c>
      <c r="E30" s="24" t="n">
        <f aca="false">C30+D30</f>
        <v>6399.64270790004</v>
      </c>
      <c r="F30" s="24" t="n">
        <f aca="false">C30*12</f>
        <v>19198.9281237001</v>
      </c>
      <c r="G30" s="24" t="n">
        <f aca="false">F30*3</f>
        <v>57596.7843711003</v>
      </c>
      <c r="H30" s="24" t="n">
        <f aca="false">F30+G30</f>
        <v>76795.7124948004</v>
      </c>
      <c r="I30" s="36" t="n">
        <f aca="false">F30/$E$7</f>
        <v>0.0462574328064164</v>
      </c>
    </row>
    <row r="31" customFormat="false" ht="16.5" hidden="false" customHeight="true" outlineLevel="0" collapsed="false">
      <c r="B31" s="22" t="str">
        <f aca="false">'Base Guarapuava'!B8</f>
        <v>APS GUARAPUAVA</v>
      </c>
      <c r="C31" s="24" t="n">
        <f aca="false">'Base Guarapuava'!AO8</f>
        <v>1423.69264793632</v>
      </c>
      <c r="D31" s="24" t="n">
        <f aca="false">C31*3</f>
        <v>4271.07794380897</v>
      </c>
      <c r="E31" s="24" t="n">
        <f aca="false">C31+D31</f>
        <v>5694.77059174529</v>
      </c>
      <c r="F31" s="24" t="n">
        <f aca="false">C31*12</f>
        <v>17084.3117752359</v>
      </c>
      <c r="G31" s="24" t="n">
        <f aca="false">F31*3</f>
        <v>51252.9353257076</v>
      </c>
      <c r="H31" s="24" t="n">
        <f aca="false">F31+G31</f>
        <v>68337.2471009435</v>
      </c>
      <c r="I31" s="36" t="n">
        <f aca="false">F31/$E$7</f>
        <v>0.0411625273502267</v>
      </c>
    </row>
    <row r="32" customFormat="false" ht="16.5" hidden="false" customHeight="true" outlineLevel="0" collapsed="false">
      <c r="B32" s="22" t="str">
        <f aca="false">'Base Guarapuava'!B9</f>
        <v>APS LARANJEIRAS DO SUL</v>
      </c>
      <c r="C32" s="24" t="n">
        <f aca="false">'Base Guarapuava'!AO9</f>
        <v>1144.2044555506</v>
      </c>
      <c r="D32" s="24" t="n">
        <f aca="false">C32*3</f>
        <v>3432.6133666518</v>
      </c>
      <c r="E32" s="24" t="n">
        <f aca="false">C32+D32</f>
        <v>4576.8178222024</v>
      </c>
      <c r="F32" s="24" t="n">
        <f aca="false">C32*12</f>
        <v>13730.4534666072</v>
      </c>
      <c r="G32" s="24" t="n">
        <f aca="false">F32*3</f>
        <v>41191.3603998216</v>
      </c>
      <c r="H32" s="24" t="n">
        <f aca="false">F32+G32</f>
        <v>54921.8138664288</v>
      </c>
      <c r="I32" s="36" t="n">
        <f aca="false">F32/$E$7</f>
        <v>0.0330818223049217</v>
      </c>
    </row>
    <row r="33" customFormat="false" ht="16.5" hidden="false" customHeight="true" outlineLevel="0" collapsed="false">
      <c r="B33" s="22" t="str">
        <f aca="false">'Base Guarapuava'!B10</f>
        <v>APS PINHÃO</v>
      </c>
      <c r="C33" s="24" t="n">
        <f aca="false">'Base Guarapuava'!AO10</f>
        <v>1144.2044555506</v>
      </c>
      <c r="D33" s="24" t="n">
        <f aca="false">C33*3</f>
        <v>3432.6133666518</v>
      </c>
      <c r="E33" s="24" t="n">
        <f aca="false">C33+D33</f>
        <v>4576.8178222024</v>
      </c>
      <c r="F33" s="24" t="n">
        <f aca="false">C33*12</f>
        <v>13730.4534666072</v>
      </c>
      <c r="G33" s="24" t="n">
        <f aca="false">F33*3</f>
        <v>41191.3603998216</v>
      </c>
      <c r="H33" s="24" t="n">
        <f aca="false">F33+G33</f>
        <v>54921.8138664288</v>
      </c>
      <c r="I33" s="36" t="n">
        <f aca="false">F33/$E$7</f>
        <v>0.0330818223049217</v>
      </c>
    </row>
    <row r="34" customFormat="false" ht="16.5" hidden="false" customHeight="true" outlineLevel="0" collapsed="false">
      <c r="B34" s="22" t="str">
        <f aca="false">'Base Guarapuava'!B11</f>
        <v>APS PITANGA</v>
      </c>
      <c r="C34" s="24" t="n">
        <f aca="false">'Base Guarapuava'!AO11</f>
        <v>1165.42068209589</v>
      </c>
      <c r="D34" s="24" t="n">
        <f aca="false">C34*3</f>
        <v>3496.26204628766</v>
      </c>
      <c r="E34" s="24" t="n">
        <f aca="false">C34+D34</f>
        <v>4661.68272838354</v>
      </c>
      <c r="F34" s="24" t="n">
        <f aca="false">C34*12</f>
        <v>13985.0481851506</v>
      </c>
      <c r="G34" s="24" t="n">
        <f aca="false">F34*3</f>
        <v>41955.1445554519</v>
      </c>
      <c r="H34" s="24" t="n">
        <f aca="false">F34+G34</f>
        <v>55940.1927406025</v>
      </c>
      <c r="I34" s="36" t="n">
        <f aca="false">F34/$E$7</f>
        <v>0.0336952366585778</v>
      </c>
    </row>
    <row r="35" customFormat="false" ht="16.5" hidden="false" customHeight="true" outlineLevel="0" collapsed="false">
      <c r="B35" s="22" t="str">
        <f aca="false">'Base Guarapuava'!B12</f>
        <v>APS TELÊMACO BORBA</v>
      </c>
      <c r="C35" s="24" t="n">
        <f aca="false">'Base Guarapuava'!AO12</f>
        <v>3423.09244283672</v>
      </c>
      <c r="D35" s="24" t="n">
        <f aca="false">C35*3</f>
        <v>10269.2773285102</v>
      </c>
      <c r="E35" s="24" t="n">
        <f aca="false">C35+D35</f>
        <v>13692.3697713469</v>
      </c>
      <c r="F35" s="24" t="n">
        <f aca="false">C35*12</f>
        <v>41077.1093140407</v>
      </c>
      <c r="G35" s="24" t="n">
        <f aca="false">F35*3</f>
        <v>123231.327942122</v>
      </c>
      <c r="H35" s="24" t="n">
        <f aca="false">F35+G35</f>
        <v>164308.437256163</v>
      </c>
      <c r="I35" s="36" t="n">
        <f aca="false">F35/$E$7</f>
        <v>0.0989701931135652</v>
      </c>
    </row>
    <row r="36" customFormat="false" ht="16.5" hidden="false" customHeight="true" outlineLevel="0" collapsed="false">
      <c r="B36" s="22" t="str">
        <f aca="false">'Base Guarapuava'!B13</f>
        <v>APS PRUDENTÓPOLIS</v>
      </c>
      <c r="C36" s="24" t="n">
        <f aca="false">'Base Guarapuava'!AO13</f>
        <v>1105.5514507506</v>
      </c>
      <c r="D36" s="24" t="n">
        <f aca="false">C36*3</f>
        <v>3316.6543522518</v>
      </c>
      <c r="E36" s="24" t="n">
        <f aca="false">C36+D36</f>
        <v>4422.2058030024</v>
      </c>
      <c r="F36" s="24" t="n">
        <f aca="false">C36*12</f>
        <v>13266.6174090072</v>
      </c>
      <c r="G36" s="24" t="n">
        <f aca="false">F36*3</f>
        <v>39799.8522270216</v>
      </c>
      <c r="H36" s="24" t="n">
        <f aca="false">F36+G36</f>
        <v>53066.4696360288</v>
      </c>
      <c r="I36" s="36" t="n">
        <f aca="false">F36/$E$7</f>
        <v>0.0319642669325913</v>
      </c>
    </row>
    <row r="37" customFormat="false" ht="16.5" hidden="false" customHeight="true" outlineLevel="0" collapsed="false">
      <c r="B37" s="22" t="str">
        <f aca="false">'Base Guarapuava'!B14</f>
        <v>APS IMBITUVA</v>
      </c>
      <c r="C37" s="24" t="n">
        <f aca="false">'Base Guarapuava'!AO14</f>
        <v>1105.5514507506</v>
      </c>
      <c r="D37" s="24" t="n">
        <f aca="false">C37*3</f>
        <v>3316.6543522518</v>
      </c>
      <c r="E37" s="24" t="n">
        <f aca="false">C37+D37</f>
        <v>4422.2058030024</v>
      </c>
      <c r="F37" s="24" t="n">
        <f aca="false">C37*12</f>
        <v>13266.6174090072</v>
      </c>
      <c r="G37" s="24" t="n">
        <f aca="false">F37*3</f>
        <v>39799.8522270216</v>
      </c>
      <c r="H37" s="24" t="n">
        <f aca="false">F37+G37</f>
        <v>53066.4696360288</v>
      </c>
      <c r="I37" s="36" t="n">
        <f aca="false">F37/$E$7</f>
        <v>0.0319642669325913</v>
      </c>
    </row>
    <row r="38" customFormat="false" ht="16.5" hidden="false" customHeight="true" outlineLevel="0" collapsed="false">
      <c r="B38" s="22" t="str">
        <f aca="false">'Base Guarapuava'!B15</f>
        <v>APS JAGUARIAIVA</v>
      </c>
      <c r="C38" s="24" t="n">
        <f aca="false">'Base Guarapuava'!AO15</f>
        <v>1837.43499796001</v>
      </c>
      <c r="D38" s="24" t="n">
        <f aca="false">C38*3</f>
        <v>5512.30499388003</v>
      </c>
      <c r="E38" s="24" t="n">
        <f aca="false">C38+D38</f>
        <v>7349.73999184004</v>
      </c>
      <c r="F38" s="24" t="n">
        <f aca="false">C38*12</f>
        <v>22049.2199755201</v>
      </c>
      <c r="G38" s="24" t="n">
        <f aca="false">F38*3</f>
        <v>66147.6599265604</v>
      </c>
      <c r="H38" s="24" t="n">
        <f aca="false">F38+G38</f>
        <v>88196.8799020805</v>
      </c>
      <c r="I38" s="36" t="n">
        <f aca="false">F38/$E$7</f>
        <v>0.053124857017015</v>
      </c>
    </row>
    <row r="39" customFormat="false" ht="16.5" hidden="false" customHeight="true" outlineLevel="0" collapsed="false">
      <c r="B39" s="22" t="str">
        <f aca="false">'Base Guarapuava'!B16</f>
        <v>APS ARAPOTI</v>
      </c>
      <c r="C39" s="24" t="n">
        <f aca="false">'Base Guarapuava'!AO16</f>
        <v>1568.33905903668</v>
      </c>
      <c r="D39" s="24" t="n">
        <f aca="false">C39*3</f>
        <v>4705.01717711003</v>
      </c>
      <c r="E39" s="24" t="n">
        <f aca="false">C39+D39</f>
        <v>6273.3562361467</v>
      </c>
      <c r="F39" s="24" t="n">
        <f aca="false">C39*12</f>
        <v>18820.0687084401</v>
      </c>
      <c r="G39" s="24" t="n">
        <f aca="false">F39*3</f>
        <v>56460.2061253203</v>
      </c>
      <c r="H39" s="24" t="n">
        <f aca="false">F39+G39</f>
        <v>75280.2748337604</v>
      </c>
      <c r="I39" s="36" t="n">
        <f aca="false">F39/$E$7</f>
        <v>0.0453446180997019</v>
      </c>
    </row>
    <row r="40" customFormat="false" ht="22.5" hidden="false" customHeight="true" outlineLevel="0" collapsed="false">
      <c r="B40" s="37" t="str">
        <f aca="false">"Total Base "&amp;B6</f>
        <v>Total Base GUARAPUAVA</v>
      </c>
      <c r="C40" s="37" t="n">
        <f aca="false">SUM(C30:C39)</f>
        <v>15517.402319443</v>
      </c>
      <c r="D40" s="37" t="n">
        <f aca="false">SUM(D30:D39)</f>
        <v>46552.2069583291</v>
      </c>
      <c r="E40" s="37" t="n">
        <f aca="false">SUM(E30:E39)</f>
        <v>62069.6092777721</v>
      </c>
      <c r="F40" s="37" t="n">
        <f aca="false">SUM(F30:F39)</f>
        <v>186208.827833316</v>
      </c>
      <c r="G40" s="37" t="n">
        <f aca="false">SUM(G30:G39)</f>
        <v>558626.483499949</v>
      </c>
      <c r="H40" s="37" t="n">
        <f aca="false">SUM(H30:H39)</f>
        <v>744835.311333265</v>
      </c>
      <c r="I40" s="38" t="n">
        <f aca="false">SUM(I30:I39)</f>
        <v>0.448647043520529</v>
      </c>
    </row>
    <row r="41" customFormat="false" ht="22.5" hidden="false" customHeight="true" outlineLevel="0" collapsed="false">
      <c r="B41" s="41"/>
      <c r="C41" s="39"/>
      <c r="D41" s="39"/>
      <c r="E41" s="39"/>
      <c r="F41" s="39"/>
      <c r="G41" s="39"/>
      <c r="H41" s="39"/>
      <c r="I41" s="40"/>
    </row>
  </sheetData>
  <mergeCells count="7">
    <mergeCell ref="B2:I2"/>
    <mergeCell ref="B9:B10"/>
    <mergeCell ref="C9:E9"/>
    <mergeCell ref="F9:H9"/>
    <mergeCell ref="B28:B29"/>
    <mergeCell ref="C28:E28"/>
    <mergeCell ref="F28:H28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2" t="str">
        <f aca="false">"CÁLCULO DO CUSTO DA EQUIPE TÉCNICA PARA O "&amp;'Valor da Contratação'!B7&amp;""</f>
        <v>CÁLCULO DO CUSTO DA EQUIPE TÉCNICA PARA O POLO II</v>
      </c>
      <c r="C2" s="42"/>
      <c r="D2" s="42"/>
      <c r="E2" s="42"/>
    </row>
    <row r="3" customFormat="false" ht="15" hidden="false" customHeight="true" outlineLevel="0" collapsed="false">
      <c r="B3" s="43"/>
      <c r="C3" s="43"/>
      <c r="D3" s="43"/>
      <c r="E3" s="43"/>
    </row>
    <row r="4" customFormat="false" ht="45.75" hidden="false" customHeight="true" outlineLevel="0" collapsed="false">
      <c r="B4" s="44" t="s">
        <v>30</v>
      </c>
      <c r="C4" s="45" t="s">
        <v>31</v>
      </c>
      <c r="D4" s="45" t="s">
        <v>32</v>
      </c>
      <c r="E4" s="45" t="s">
        <v>33</v>
      </c>
    </row>
    <row r="5" customFormat="false" ht="19.5" hidden="false" customHeight="true" outlineLevel="0" collapsed="false">
      <c r="B5" s="44"/>
      <c r="C5" s="46" t="n">
        <v>127.29</v>
      </c>
      <c r="D5" s="46" t="n">
        <f aca="false">'Comp. Eng. Eletricista'!D11</f>
        <v>127.8325</v>
      </c>
      <c r="E5" s="46" t="n">
        <v>41.41</v>
      </c>
    </row>
    <row r="6" customFormat="false" ht="19.5" hidden="false" customHeight="true" outlineLevel="0" collapsed="false">
      <c r="B6" s="47" t="s">
        <v>34</v>
      </c>
      <c r="C6" s="48" t="n">
        <v>80</v>
      </c>
      <c r="D6" s="48" t="n">
        <v>16</v>
      </c>
      <c r="E6" s="48" t="n">
        <v>80</v>
      </c>
    </row>
    <row r="7" customFormat="false" ht="19.5" hidden="false" customHeight="true" outlineLevel="0" collapsed="false">
      <c r="B7" s="47" t="s">
        <v>35</v>
      </c>
      <c r="C7" s="46" t="n">
        <f aca="false">C5*C6</f>
        <v>10183.2</v>
      </c>
      <c r="D7" s="46" t="n">
        <f aca="false">D5*D6</f>
        <v>2045.32</v>
      </c>
      <c r="E7" s="46" t="n">
        <f aca="false">E5*E6</f>
        <v>3312.8</v>
      </c>
    </row>
    <row r="8" customFormat="false" ht="19.5" hidden="false" customHeight="true" outlineLevel="0" collapsed="false">
      <c r="B8" s="47" t="s">
        <v>36</v>
      </c>
      <c r="C8" s="46" t="n">
        <f aca="false">C5*C6*12</f>
        <v>122198.4</v>
      </c>
      <c r="D8" s="46" t="n">
        <f aca="false">D5*D6*12</f>
        <v>24543.84</v>
      </c>
      <c r="E8" s="46" t="n">
        <f aca="false">E5*E6*12</f>
        <v>39753.6</v>
      </c>
    </row>
    <row r="9" customFormat="false" ht="19.5" hidden="false" customHeight="true" outlineLevel="0" collapsed="false">
      <c r="B9" s="49" t="s">
        <v>37</v>
      </c>
      <c r="C9" s="50"/>
      <c r="D9" s="50"/>
      <c r="E9" s="50"/>
    </row>
    <row r="10" customFormat="false" ht="19.5" hidden="false" customHeight="true" outlineLevel="0" collapsed="false">
      <c r="C10" s="50"/>
      <c r="D10" s="50"/>
      <c r="E10" s="50"/>
    </row>
    <row r="11" customFormat="false" ht="19.5" hidden="false" customHeight="true" outlineLevel="0" collapsed="false">
      <c r="B11" s="44" t="s">
        <v>38</v>
      </c>
      <c r="C11" s="44"/>
      <c r="E11" s="50"/>
    </row>
    <row r="12" customFormat="false" ht="19.5" hidden="false" customHeight="true" outlineLevel="0" collapsed="false">
      <c r="B12" s="47" t="s">
        <v>39</v>
      </c>
      <c r="C12" s="46" t="n">
        <f aca="false">SUM(C7:E7)</f>
        <v>15541.32</v>
      </c>
      <c r="E12" s="50"/>
    </row>
    <row r="13" customFormat="false" ht="19.5" hidden="false" customHeight="true" outlineLevel="0" collapsed="false">
      <c r="B13" s="47" t="s">
        <v>40</v>
      </c>
      <c r="C13" s="46" t="n">
        <f aca="false">SUM(C8:E8)</f>
        <v>186495.84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AW27"/>
  <sheetViews>
    <sheetView showFormulas="false" showGridLines="false" showRowColHeaders="true" showZeros="true" rightToLeft="false" tabSelected="false" showOutlineSymbols="true" defaultGridColor="true" view="normal" topLeftCell="A8" colorId="64" zoomScale="100" zoomScaleNormal="100" zoomScalePageLayoutView="100" workbookViewId="0">
      <selection pane="topLeft" activeCell="E24" activeCellId="0" sqref="E24"/>
    </sheetView>
  </sheetViews>
  <sheetFormatPr defaultColWidth="10.50390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8.38"/>
    <col collapsed="false" customWidth="true" hidden="false" outlineLevel="0" max="17" min="17" style="16" width="33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3"/>
    <col collapsed="false" customWidth="true" hidden="false" outlineLevel="0" max="36" min="36" style="16" width="10.62"/>
    <col collapsed="false" customWidth="true" hidden="false" outlineLevel="0" max="40" min="37" style="16" width="11.75"/>
    <col collapsed="false" customWidth="true" hidden="false" outlineLevel="0" max="42" min="41" style="16" width="11.38"/>
    <col collapsed="false" customWidth="true" hidden="false" outlineLevel="0" max="43" min="43" style="16" width="12.88"/>
    <col collapsed="false" customWidth="true" hidden="false" outlineLevel="0" max="44" min="44" style="16" width="3.38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256" min="50" style="16" width="10.62"/>
    <col collapsed="false" customWidth="true" hidden="false" outlineLevel="0" max="1024" min="1013" style="1" width="8.5"/>
  </cols>
  <sheetData>
    <row r="1" customFormat="false" ht="15" hidden="false" customHeight="true" outlineLevel="0" collapsed="false"/>
    <row r="2" s="51" customFormat="true" ht="24.75" hidden="false" customHeight="true" outlineLevel="0" collapsed="false">
      <c r="B2" s="52" t="str">
        <f aca="false">"BASE "&amp;Resumo!B5&amp;" - PLANILHA DE FORMAÇÃO DE PREÇOS"</f>
        <v>BASE LONDRINA - PLANILHA DE FORMAÇÃO DE PREÇOS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  <c r="Q2" s="42" t="str">
        <f aca="false">"BASE "&amp;Resumo!B5&amp;" – PLANILHA DE DISTRIBUIÇÃO DE CUSTOS POR UNIDADE"</f>
        <v>BASE LONDRINA – PLANILHA DE DISTRIBUIÇÃO DE CUSTOS POR UNIDADE</v>
      </c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54"/>
      <c r="AI2" s="55" t="str">
        <f aca="false">"BASE "&amp;Resumo!B5&amp;" – PLANILHA RESUMO DE CUSTOS DA BASE"</f>
        <v>BASE LONDRINA – PLANILHA RESUMO DE CUSTOS DA BASE</v>
      </c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</row>
    <row r="3" customFormat="false" ht="15" hidden="false" customHeight="true" outlineLevel="0" collapsed="false">
      <c r="B3" s="51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</row>
    <row r="4" s="33" customFormat="true" ht="19.5" hidden="false" customHeight="true" outlineLevel="0" collapsed="false">
      <c r="B4" s="45" t="s">
        <v>41</v>
      </c>
      <c r="C4" s="45" t="s">
        <v>42</v>
      </c>
      <c r="D4" s="45"/>
      <c r="E4" s="45"/>
      <c r="F4" s="45"/>
      <c r="G4" s="45"/>
      <c r="H4" s="45" t="s">
        <v>43</v>
      </c>
      <c r="I4" s="45"/>
      <c r="J4" s="45"/>
      <c r="K4" s="45"/>
      <c r="L4" s="45"/>
      <c r="M4" s="45"/>
      <c r="N4" s="45"/>
      <c r="O4" s="45" t="s">
        <v>28</v>
      </c>
      <c r="P4" s="53"/>
      <c r="Q4" s="45" t="s">
        <v>44</v>
      </c>
      <c r="R4" s="56" t="s">
        <v>45</v>
      </c>
      <c r="S4" s="56"/>
      <c r="T4" s="56"/>
      <c r="U4" s="56"/>
      <c r="V4" s="56" t="s">
        <v>46</v>
      </c>
      <c r="W4" s="56"/>
      <c r="X4" s="56"/>
      <c r="Y4" s="56"/>
      <c r="Z4" s="56" t="s">
        <v>47</v>
      </c>
      <c r="AA4" s="56"/>
      <c r="AB4" s="56"/>
      <c r="AC4" s="56"/>
      <c r="AD4" s="56" t="s">
        <v>48</v>
      </c>
      <c r="AE4" s="56"/>
      <c r="AF4" s="56"/>
      <c r="AG4" s="56"/>
      <c r="AI4" s="45" t="s">
        <v>44</v>
      </c>
      <c r="AJ4" s="57" t="s">
        <v>49</v>
      </c>
      <c r="AK4" s="57"/>
      <c r="AL4" s="57"/>
      <c r="AM4" s="57"/>
      <c r="AN4" s="57"/>
      <c r="AO4" s="57" t="s">
        <v>50</v>
      </c>
      <c r="AP4" s="57"/>
      <c r="AQ4" s="57"/>
      <c r="AR4" s="58"/>
      <c r="AS4" s="57" t="str">
        <f aca="false">"Resumo de Custos da Base "&amp;Resumo!B5</f>
        <v>Resumo de Custos da Base LONDRINA</v>
      </c>
      <c r="AT4" s="57"/>
      <c r="AU4" s="57"/>
      <c r="AV4" s="57"/>
      <c r="AW4" s="57"/>
    </row>
    <row r="5" customFormat="false" ht="39.75" hidden="false" customHeight="true" outlineLevel="0" collapsed="false">
      <c r="B5" s="45"/>
      <c r="C5" s="45" t="s">
        <v>28</v>
      </c>
      <c r="D5" s="45" t="s">
        <v>51</v>
      </c>
      <c r="E5" s="45" t="s">
        <v>52</v>
      </c>
      <c r="F5" s="45" t="s">
        <v>53</v>
      </c>
      <c r="G5" s="45" t="s">
        <v>54</v>
      </c>
      <c r="H5" s="45" t="s">
        <v>55</v>
      </c>
      <c r="I5" s="45" t="s">
        <v>56</v>
      </c>
      <c r="J5" s="45" t="s">
        <v>57</v>
      </c>
      <c r="K5" s="45" t="s">
        <v>58</v>
      </c>
      <c r="L5" s="45" t="s">
        <v>59</v>
      </c>
      <c r="M5" s="45" t="s">
        <v>60</v>
      </c>
      <c r="N5" s="45" t="s">
        <v>61</v>
      </c>
      <c r="O5" s="45"/>
      <c r="P5" s="53"/>
      <c r="Q5" s="45"/>
      <c r="R5" s="45" t="s">
        <v>62</v>
      </c>
      <c r="S5" s="45" t="s">
        <v>63</v>
      </c>
      <c r="T5" s="45" t="s">
        <v>64</v>
      </c>
      <c r="U5" s="45" t="s">
        <v>65</v>
      </c>
      <c r="V5" s="45" t="s">
        <v>66</v>
      </c>
      <c r="W5" s="45" t="s">
        <v>67</v>
      </c>
      <c r="X5" s="45" t="s">
        <v>68</v>
      </c>
      <c r="Y5" s="45" t="s">
        <v>69</v>
      </c>
      <c r="Z5" s="45" t="s">
        <v>70</v>
      </c>
      <c r="AA5" s="45"/>
      <c r="AB5" s="45"/>
      <c r="AC5" s="45" t="n">
        <f aca="false">N22+'Base Guarapuava'!N17</f>
        <v>962.35</v>
      </c>
      <c r="AD5" s="56" t="s">
        <v>62</v>
      </c>
      <c r="AE5" s="56" t="s">
        <v>63</v>
      </c>
      <c r="AF5" s="56" t="s">
        <v>64</v>
      </c>
      <c r="AG5" s="56" t="s">
        <v>65</v>
      </c>
      <c r="AI5" s="45"/>
      <c r="AJ5" s="56" t="s">
        <v>71</v>
      </c>
      <c r="AK5" s="56" t="s">
        <v>62</v>
      </c>
      <c r="AL5" s="56" t="s">
        <v>63</v>
      </c>
      <c r="AM5" s="56" t="s">
        <v>64</v>
      </c>
      <c r="AN5" s="56" t="s">
        <v>65</v>
      </c>
      <c r="AO5" s="56" t="s">
        <v>72</v>
      </c>
      <c r="AP5" s="56" t="s">
        <v>73</v>
      </c>
      <c r="AQ5" s="56" t="s">
        <v>74</v>
      </c>
      <c r="AR5" s="54"/>
      <c r="AS5" s="56" t="s">
        <v>75</v>
      </c>
      <c r="AT5" s="56" t="s">
        <v>62</v>
      </c>
      <c r="AU5" s="56" t="s">
        <v>63</v>
      </c>
      <c r="AV5" s="56" t="s">
        <v>64</v>
      </c>
      <c r="AW5" s="56" t="s">
        <v>65</v>
      </c>
    </row>
    <row r="6" customFormat="false" ht="19.5" hidden="false" customHeight="true" outlineLevel="0" collapsed="false">
      <c r="B6" s="45"/>
      <c r="C6" s="59" t="s">
        <v>76</v>
      </c>
      <c r="D6" s="59" t="n">
        <v>1</v>
      </c>
      <c r="E6" s="59" t="n">
        <v>0.35</v>
      </c>
      <c r="F6" s="59" t="n">
        <v>0.1</v>
      </c>
      <c r="G6" s="45"/>
      <c r="H6" s="59" t="n">
        <v>1</v>
      </c>
      <c r="I6" s="59" t="n">
        <v>1.2</v>
      </c>
      <c r="J6" s="59" t="n">
        <v>2</v>
      </c>
      <c r="K6" s="59" t="n">
        <v>4</v>
      </c>
      <c r="L6" s="59" t="n">
        <v>1.1</v>
      </c>
      <c r="M6" s="59" t="n">
        <v>1.1</v>
      </c>
      <c r="N6" s="45"/>
      <c r="O6" s="45"/>
      <c r="P6" s="60"/>
      <c r="Q6" s="45"/>
      <c r="R6" s="59" t="s">
        <v>77</v>
      </c>
      <c r="S6" s="59" t="s">
        <v>78</v>
      </c>
      <c r="T6" s="59" t="s">
        <v>79</v>
      </c>
      <c r="U6" s="59" t="s">
        <v>80</v>
      </c>
      <c r="V6" s="45"/>
      <c r="W6" s="45"/>
      <c r="X6" s="45"/>
      <c r="Y6" s="45"/>
      <c r="Z6" s="35" t="s">
        <v>62</v>
      </c>
      <c r="AA6" s="35" t="s">
        <v>63</v>
      </c>
      <c r="AB6" s="35" t="s">
        <v>64</v>
      </c>
      <c r="AC6" s="35" t="s">
        <v>65</v>
      </c>
      <c r="AD6" s="56"/>
      <c r="AE6" s="56"/>
      <c r="AF6" s="56"/>
      <c r="AG6" s="56"/>
      <c r="AI6" s="45"/>
      <c r="AJ6" s="56"/>
      <c r="AK6" s="56"/>
      <c r="AL6" s="56"/>
      <c r="AM6" s="56"/>
      <c r="AN6" s="56"/>
      <c r="AO6" s="56"/>
      <c r="AP6" s="56"/>
      <c r="AQ6" s="56"/>
      <c r="AR6" s="61"/>
      <c r="AS6" s="56"/>
      <c r="AT6" s="35" t="s">
        <v>77</v>
      </c>
      <c r="AU6" s="35" t="s">
        <v>78</v>
      </c>
      <c r="AV6" s="35" t="s">
        <v>79</v>
      </c>
      <c r="AW6" s="35" t="s">
        <v>80</v>
      </c>
    </row>
    <row r="7" s="2" customFormat="true" ht="15" hidden="false" customHeight="true" outlineLevel="0" collapsed="false">
      <c r="B7" s="62" t="s">
        <v>81</v>
      </c>
      <c r="C7" s="63" t="n">
        <f aca="false">VLOOKUP($B7,Unidades!$D$5:$N$29,6,FALSE())</f>
        <v>337.58</v>
      </c>
      <c r="D7" s="63" t="n">
        <f aca="false">VLOOKUP($B7,Unidades!$D$5:$N$29,7,FALSE())</f>
        <v>337.58</v>
      </c>
      <c r="E7" s="63" t="n">
        <f aca="false">VLOOKUP($B7,Unidades!$D$5:$N$29,8,FALSE())</f>
        <v>0</v>
      </c>
      <c r="F7" s="63" t="n">
        <f aca="false">VLOOKUP($B7,Unidades!$D$5:$N$29,9,FALSE())</f>
        <v>0</v>
      </c>
      <c r="G7" s="63" t="n">
        <f aca="false">D7+E7*$E$6+F7*$F$6</f>
        <v>337.58</v>
      </c>
      <c r="H7" s="64" t="n">
        <f aca="false">IF(G7&lt;750,1.5,IF(G7&lt;2000,2,3))</f>
        <v>1.5</v>
      </c>
      <c r="I7" s="64" t="n">
        <f aca="false">$I$6*H7</f>
        <v>1.8</v>
      </c>
      <c r="J7" s="64" t="str">
        <f aca="false">VLOOKUP($B7,Unidades!$D$5:$N$29,10,FALSE())</f>
        <v>NÃO</v>
      </c>
      <c r="K7" s="64" t="str">
        <f aca="false">VLOOKUP($B7,Unidades!$D$5:$N$29,11,FALSE())</f>
        <v>NÃO</v>
      </c>
      <c r="L7" s="64" t="n">
        <f aca="false">$L$6*H7+(IF(J7="SIM",$J$6,0))</f>
        <v>1.65</v>
      </c>
      <c r="M7" s="64" t="n">
        <f aca="false">$M$6*H7+(IF(J7="SIM",$J$6,0))+(IF(K7="SIM",$K$6,0))</f>
        <v>1.65</v>
      </c>
      <c r="N7" s="64" t="n">
        <f aca="false">H7*12+I7*4+L7*2+M7</f>
        <v>30.15</v>
      </c>
      <c r="O7" s="65" t="n">
        <f aca="false">IF(K7="não", N7*(C$25+D$25),N7*(C$25+D$25)+(M7*E$25))</f>
        <v>1873.2195</v>
      </c>
      <c r="P7" s="66"/>
      <c r="Q7" s="22" t="str">
        <f aca="false">B7</f>
        <v>APS ADJ LONDRINA</v>
      </c>
      <c r="R7" s="24" t="n">
        <f aca="false">H7*($C$25+$D$25)</f>
        <v>93.195</v>
      </c>
      <c r="S7" s="24" t="n">
        <f aca="false">I7*($C$25+$D$25)</f>
        <v>111.834</v>
      </c>
      <c r="T7" s="24" t="n">
        <f aca="false">L7*($C$25+$D$25)</f>
        <v>102.5145</v>
      </c>
      <c r="U7" s="24" t="n">
        <f aca="false">IF(K7="não",M7*($C$25+$D$25),M7*(C$25+D$25+E$25))</f>
        <v>102.5145</v>
      </c>
      <c r="V7" s="24" t="n">
        <f aca="false">VLOOKUP(Q7,'Desl. Base Londrina'!$C$5:$S$19,13,FALSE())*($C$25+$D$25+$E$25*(VLOOKUP(Q7,'Desl. Base Londrina'!$C$5:$S$19,17,FALSE())/12))</f>
        <v>11.3905</v>
      </c>
      <c r="W7" s="24" t="n">
        <f aca="false">VLOOKUP(Q7,'Desl. Base Londrina'!$C$5:$Q$19,15,FALSE())*(2+(VLOOKUP(Q7,'Desl. Base Londrina'!$C$5:$S$19,17,FALSE())/12))</f>
        <v>0</v>
      </c>
      <c r="X7" s="24" t="n">
        <f aca="false">VLOOKUP(Q7,'Desl. Base Londrina'!$C$5:$Q$19,14,FALSE())</f>
        <v>0</v>
      </c>
      <c r="Y7" s="24" t="n">
        <f aca="false">VLOOKUP(Q7,'Desl. Base Londrina'!$C$5:$Q$19,13,FALSE())*'Desl. Base Londrina'!$E$24+'Desl. Base Londrina'!$E$25*N7/12</f>
        <v>27.1217083333333</v>
      </c>
      <c r="Z7" s="24" t="n">
        <f aca="false">(H7/$AC$5)*'Equipe Técnica'!$C$13</f>
        <v>290.68816958487</v>
      </c>
      <c r="AA7" s="24" t="n">
        <f aca="false">(I7/$AC$5)*'Equipe Técnica'!$C$13</f>
        <v>348.825803501844</v>
      </c>
      <c r="AB7" s="24" t="n">
        <f aca="false">(L7/$AC$5)*'Equipe Técnica'!$C$13</f>
        <v>319.756986543357</v>
      </c>
      <c r="AC7" s="24" t="n">
        <f aca="false">(M7/$AC$5)*'Equipe Técnica'!$C$13</f>
        <v>319.756986543357</v>
      </c>
      <c r="AD7" s="24" t="n">
        <f aca="false">R7+(($V7+$W7+$X7+$Y7)*12/19)+$Z7</f>
        <v>408.20666958487</v>
      </c>
      <c r="AE7" s="24" t="n">
        <f aca="false">S7+(($V7+$W7+$X7+$Y7)*12/19)+$AA7</f>
        <v>484.983303501844</v>
      </c>
      <c r="AF7" s="24" t="n">
        <f aca="false">T7+(($V7+$W7+$X7+$Y7)*12/19)+$AB7</f>
        <v>446.594986543357</v>
      </c>
      <c r="AG7" s="24" t="n">
        <f aca="false">U7+(($V7+$W7+$X7+$Y7)*12/19)+$AC7</f>
        <v>446.594986543357</v>
      </c>
      <c r="AI7" s="22" t="str">
        <f aca="false">B7</f>
        <v>APS ADJ LONDRINA</v>
      </c>
      <c r="AJ7" s="67" t="n">
        <f aca="false">VLOOKUP(AI7,Unidades!D$5:H$29,5,)</f>
        <v>0.2624</v>
      </c>
      <c r="AK7" s="46" t="n">
        <f aca="false">AD7*(1+$AJ7)</f>
        <v>515.32009968394</v>
      </c>
      <c r="AL7" s="46" t="n">
        <f aca="false">AE7*(1+$AJ7)</f>
        <v>612.242922340728</v>
      </c>
      <c r="AM7" s="46" t="n">
        <f aca="false">AF7*(1+$AJ7)</f>
        <v>563.781511012334</v>
      </c>
      <c r="AN7" s="46" t="n">
        <f aca="false">AG7*(1+$AJ7)</f>
        <v>563.781511012334</v>
      </c>
      <c r="AO7" s="46" t="n">
        <f aca="false">((AK7*12)+(AL7*4)+(AM7*2)+AN7)/12</f>
        <v>860.3464515506</v>
      </c>
      <c r="AP7" s="46" t="n">
        <f aca="false">AO7*3</f>
        <v>2581.0393546518</v>
      </c>
      <c r="AQ7" s="46" t="n">
        <f aca="false">AO7+AP7</f>
        <v>3441.3858062024</v>
      </c>
      <c r="AR7" s="68"/>
      <c r="AS7" s="69" t="s">
        <v>82</v>
      </c>
      <c r="AT7" s="46" t="n">
        <f aca="false">AK22</f>
        <v>10344.5024902565</v>
      </c>
      <c r="AU7" s="46" t="n">
        <f aca="false">AL22</f>
        <v>11980.4590057594</v>
      </c>
      <c r="AV7" s="46" t="n">
        <f aca="false">AM22</f>
        <v>15022.1956882821</v>
      </c>
      <c r="AW7" s="46" t="n">
        <f aca="false">AN22</f>
        <v>26736.1726709208</v>
      </c>
    </row>
    <row r="8" s="2" customFormat="true" ht="15" hidden="false" customHeight="true" outlineLevel="0" collapsed="false">
      <c r="B8" s="62" t="s">
        <v>83</v>
      </c>
      <c r="C8" s="63" t="n">
        <f aca="false">VLOOKUP($B8,Unidades!$D$5:$N$29,6,FALSE())</f>
        <v>334.4</v>
      </c>
      <c r="D8" s="63" t="n">
        <f aca="false">VLOOKUP($B8,Unidades!$D$5:$N$29,7,FALSE())</f>
        <v>296</v>
      </c>
      <c r="E8" s="63" t="n">
        <f aca="false">VLOOKUP($B8,Unidades!$D$5:$N$29,8,FALSE())</f>
        <v>38.4</v>
      </c>
      <c r="F8" s="63" t="n">
        <f aca="false">VLOOKUP($B8,Unidades!$D$5:$N$29,9,FALSE())</f>
        <v>0</v>
      </c>
      <c r="G8" s="63" t="n">
        <f aca="false">D8+E8*$E$6+F8*$F$6</f>
        <v>309.44</v>
      </c>
      <c r="H8" s="64" t="n">
        <f aca="false">IF(G8&lt;750,1.5,IF(G8&lt;2000,2,3))</f>
        <v>1.5</v>
      </c>
      <c r="I8" s="64" t="n">
        <f aca="false">$I$6*H8</f>
        <v>1.8</v>
      </c>
      <c r="J8" s="64" t="str">
        <f aca="false">VLOOKUP($B8,Unidades!$D$5:$N$29,10,FALSE())</f>
        <v>NÃO</v>
      </c>
      <c r="K8" s="64" t="str">
        <f aca="false">VLOOKUP($B8,Unidades!$D$5:$N$29,11,FALSE())</f>
        <v>NÃO</v>
      </c>
      <c r="L8" s="64" t="n">
        <f aca="false">$L$6*H8+(IF(J8="SIM",$J$6,0))</f>
        <v>1.65</v>
      </c>
      <c r="M8" s="64" t="n">
        <f aca="false">$M$6*H8+(IF(J8="SIM",$J$6,0))+(IF(K8="SIM",$K$6,0))</f>
        <v>1.65</v>
      </c>
      <c r="N8" s="64" t="n">
        <f aca="false">H8*12+I8*4+L8*2+M8</f>
        <v>30.15</v>
      </c>
      <c r="O8" s="65" t="n">
        <f aca="false">IF(K8="não", N8*(C$25+D$25),N8*(C$25+D$25)+(M8*E$25))</f>
        <v>1873.2195</v>
      </c>
      <c r="P8" s="66"/>
      <c r="Q8" s="22" t="str">
        <f aca="false">B8</f>
        <v>APS ANDIRÁ</v>
      </c>
      <c r="R8" s="24" t="n">
        <f aca="false">H8*($C$25+$D$25)</f>
        <v>93.195</v>
      </c>
      <c r="S8" s="24" t="n">
        <f aca="false">I8*($C$25+$D$25)</f>
        <v>111.834</v>
      </c>
      <c r="T8" s="24" t="n">
        <f aca="false">L8*($C$25+$D$25)</f>
        <v>102.5145</v>
      </c>
      <c r="U8" s="24" t="n">
        <f aca="false">IF(K8="não",M8*($C$25+$D$25),M8*(C$25+D$25+E$25))</f>
        <v>102.5145</v>
      </c>
      <c r="V8" s="24" t="n">
        <f aca="false">VLOOKUP(Q8,'Desl. Base Londrina'!$C$5:$S$19,13,FALSE())*($C$25+$D$25+$E$25*(VLOOKUP(Q8,'Desl. Base Londrina'!$C$5:$S$19,17,FALSE())/12))</f>
        <v>120.118</v>
      </c>
      <c r="W8" s="24" t="n">
        <f aca="false">VLOOKUP(Q8,'Desl. Base Londrina'!$C$5:$Q$19,15,FALSE())*(2+(VLOOKUP(Q8,'Desl. Base Londrina'!$C$5:$S$19,17,FALSE())/12))</f>
        <v>0</v>
      </c>
      <c r="X8" s="24" t="n">
        <f aca="false">VLOOKUP(Q8,'Desl. Base Londrina'!$C$5:$Q$19,14,FALSE())</f>
        <v>0</v>
      </c>
      <c r="Y8" s="24" t="n">
        <f aca="false">VLOOKUP(Q8,'Desl. Base Londrina'!$C$5:$Q$19,13,FALSE())*'Desl. Base Londrina'!$E$24+'Desl. Base Londrina'!$E$25*N8/12</f>
        <v>119.329208333333</v>
      </c>
      <c r="Z8" s="24" t="n">
        <f aca="false">(H8/$AC$5)*'Equipe Técnica'!$C$13</f>
        <v>290.68816958487</v>
      </c>
      <c r="AA8" s="24" t="n">
        <f aca="false">(I8/$AC$5)*'Equipe Técnica'!$C$13</f>
        <v>348.825803501844</v>
      </c>
      <c r="AB8" s="24" t="n">
        <f aca="false">(L8/$AC$5)*'Equipe Técnica'!$C$13</f>
        <v>319.756986543357</v>
      </c>
      <c r="AC8" s="24" t="n">
        <f aca="false">(M8/$AC$5)*'Equipe Técnica'!$C$13</f>
        <v>319.756986543357</v>
      </c>
      <c r="AD8" s="24" t="n">
        <f aca="false">R8+(($V8+$W8+$X8+$Y8)*12/19)+$Z8</f>
        <v>535.112985374344</v>
      </c>
      <c r="AE8" s="24" t="n">
        <f aca="false">S8+(($V8+$W8+$X8+$Y8)*12/19)+$AA8</f>
        <v>611.889619291318</v>
      </c>
      <c r="AF8" s="24" t="n">
        <f aca="false">T8+(($V8+$W8+$X8+$Y8)*12/19)+$AB8</f>
        <v>573.501302332831</v>
      </c>
      <c r="AG8" s="24" t="n">
        <f aca="false">U8+(($V8+$W8+$X8+$Y8)*12/19)+$AC8</f>
        <v>573.501302332831</v>
      </c>
      <c r="AI8" s="22" t="str">
        <f aca="false">B8</f>
        <v>APS ANDIRÁ</v>
      </c>
      <c r="AJ8" s="67" t="n">
        <f aca="false">VLOOKUP(AI8,Unidades!D$5:H$29,5,)</f>
        <v>0.2354</v>
      </c>
      <c r="AK8" s="46" t="n">
        <f aca="false">AD8*(1+$AJ8)</f>
        <v>661.078582131465</v>
      </c>
      <c r="AL8" s="46" t="n">
        <f aca="false">AE8*(1+$AJ8)</f>
        <v>755.928435672494</v>
      </c>
      <c r="AM8" s="46" t="n">
        <f aca="false">AF8*(1+$AJ8)</f>
        <v>708.50350890198</v>
      </c>
      <c r="AN8" s="46" t="n">
        <f aca="false">AG8*(1+$AJ8)</f>
        <v>708.50350890198</v>
      </c>
      <c r="AO8" s="46" t="n">
        <f aca="false">((AK8*12)+(AL8*4)+(AM8*2)+AN8)/12</f>
        <v>1090.18060458112</v>
      </c>
      <c r="AP8" s="46" t="n">
        <f aca="false">AO8*3</f>
        <v>3270.54181374337</v>
      </c>
      <c r="AQ8" s="46" t="n">
        <f aca="false">AO8+AP8</f>
        <v>4360.7224183245</v>
      </c>
      <c r="AR8" s="68"/>
      <c r="AS8" s="69" t="s">
        <v>84</v>
      </c>
      <c r="AT8" s="46" t="n">
        <f aca="false">AT7*12</f>
        <v>124134.029883078</v>
      </c>
      <c r="AU8" s="46" t="n">
        <f aca="false">AU7*4</f>
        <v>47921.8360230376</v>
      </c>
      <c r="AV8" s="46" t="n">
        <f aca="false">AV7*2</f>
        <v>30044.3913765642</v>
      </c>
      <c r="AW8" s="46" t="n">
        <f aca="false">AW7</f>
        <v>26736.1726709208</v>
      </c>
    </row>
    <row r="9" s="2" customFormat="true" ht="15" hidden="false" customHeight="true" outlineLevel="0" collapsed="false">
      <c r="B9" s="62" t="s">
        <v>85</v>
      </c>
      <c r="C9" s="63" t="n">
        <f aca="false">VLOOKUP($B9,Unidades!$D$5:$N$29,6,FALSE())</f>
        <v>2574.59</v>
      </c>
      <c r="D9" s="63" t="n">
        <f aca="false">VLOOKUP($B9,Unidades!$D$5:$N$29,7,FALSE())</f>
        <v>1216.59</v>
      </c>
      <c r="E9" s="63" t="n">
        <f aca="false">VLOOKUP($B9,Unidades!$D$5:$N$29,8,FALSE())</f>
        <v>952.47</v>
      </c>
      <c r="F9" s="63" t="n">
        <f aca="false">VLOOKUP($B9,Unidades!$D$5:$N$29,9,FALSE())</f>
        <v>405.53</v>
      </c>
      <c r="G9" s="63" t="n">
        <f aca="false">D9+E9*$E$6+F9*$F$6</f>
        <v>1590.5075</v>
      </c>
      <c r="H9" s="64" t="n">
        <f aca="false">IF(G9&lt;750,1.5,IF(G9&lt;2000,2,3))</f>
        <v>2</v>
      </c>
      <c r="I9" s="64" t="n">
        <f aca="false">$I$6*H9</f>
        <v>2.4</v>
      </c>
      <c r="J9" s="64" t="str">
        <f aca="false">VLOOKUP($B9,Unidades!$D$5:$N$29,10,FALSE())</f>
        <v>SIM</v>
      </c>
      <c r="K9" s="64" t="str">
        <f aca="false">VLOOKUP($B9,Unidades!$D$5:$N$29,11,FALSE())</f>
        <v>SIM</v>
      </c>
      <c r="L9" s="64" t="n">
        <f aca="false">$L$6*H9+(IF(J9="SIM",$J$6,0))</f>
        <v>4.2</v>
      </c>
      <c r="M9" s="64" t="n">
        <f aca="false">$M$6*H9+(IF(J9="SIM",$J$6,0))+(IF(K9="SIM",$K$6,0))</f>
        <v>8.2</v>
      </c>
      <c r="N9" s="64" t="n">
        <f aca="false">H9*12+I9*4+L9*2+M9</f>
        <v>50.2</v>
      </c>
      <c r="O9" s="65" t="n">
        <f aca="false">IF(K9="não", N9*(C$25+D$25),N9*(C$25+D$25)+(M9*E$25))</f>
        <v>3455.946</v>
      </c>
      <c r="P9" s="66"/>
      <c r="Q9" s="22" t="str">
        <f aca="false">B9</f>
        <v>APS APUCARANA</v>
      </c>
      <c r="R9" s="24" t="n">
        <f aca="false">H9*($C$25+$D$25)</f>
        <v>124.26</v>
      </c>
      <c r="S9" s="24" t="n">
        <f aca="false">I9*($C$25+$D$25)</f>
        <v>149.112</v>
      </c>
      <c r="T9" s="24" t="n">
        <f aca="false">L9*($C$25+$D$25)</f>
        <v>260.946</v>
      </c>
      <c r="U9" s="24" t="n">
        <f aca="false">IF(K9="não",M9*($C$25+$D$25),M9*(C$25+D$25+E$25))</f>
        <v>846.486</v>
      </c>
      <c r="V9" s="24" t="n">
        <f aca="false">VLOOKUP(Q9,'Desl. Base Londrina'!$C$5:$S$19,13,FALSE())*($C$25+$D$25+$E$25*(VLOOKUP(Q9,'Desl. Base Londrina'!$C$5:$S$19,17,FALSE())/12))</f>
        <v>72.1105</v>
      </c>
      <c r="W9" s="24" t="n">
        <f aca="false">VLOOKUP(Q9,'Desl. Base Londrina'!$C$5:$Q$19,15,FALSE())*(2+(VLOOKUP(Q9,'Desl. Base Londrina'!$C$5:$S$19,17,FALSE())/12))</f>
        <v>0</v>
      </c>
      <c r="X9" s="24" t="n">
        <f aca="false">VLOOKUP(Q9,'Desl. Base Londrina'!$C$5:$Q$19,14,FALSE())</f>
        <v>0</v>
      </c>
      <c r="Y9" s="24" t="n">
        <f aca="false">VLOOKUP(Q9,'Desl. Base Londrina'!$C$5:$Q$19,13,FALSE())*'Desl. Base Londrina'!$E$24+'Desl. Base Londrina'!$E$25*N9/12</f>
        <v>87.0331666666667</v>
      </c>
      <c r="Z9" s="24" t="n">
        <f aca="false">(H9/$AC$5)*'Equipe Técnica'!$C$13</f>
        <v>387.584226113161</v>
      </c>
      <c r="AA9" s="24" t="n">
        <f aca="false">(I9/$AC$5)*'Equipe Técnica'!$C$13</f>
        <v>465.101071335793</v>
      </c>
      <c r="AB9" s="24" t="n">
        <f aca="false">(L9/$AC$5)*'Equipe Técnica'!$C$13</f>
        <v>813.926874837637</v>
      </c>
      <c r="AC9" s="24" t="n">
        <f aca="false">(M9/$AC$5)*'Equipe Técnica'!$C$13</f>
        <v>1589.09532706396</v>
      </c>
      <c r="AD9" s="24" t="n">
        <f aca="false">R9+(($V9+$W9+$X9+$Y9)*12/19)+$Z9</f>
        <v>612.356015586845</v>
      </c>
      <c r="AE9" s="24" t="n">
        <f aca="false">S9+(($V9+$W9+$X9+$Y9)*12/19)+$AA9</f>
        <v>714.724860809477</v>
      </c>
      <c r="AF9" s="24" t="n">
        <f aca="false">T9+(($V9+$W9+$X9+$Y9)*12/19)+$AB9</f>
        <v>1175.38466431132</v>
      </c>
      <c r="AG9" s="24" t="n">
        <f aca="false">U9+(($V9+$W9+$X9+$Y9)*12/19)+$AC9</f>
        <v>2536.09311653764</v>
      </c>
      <c r="AI9" s="22" t="str">
        <f aca="false">B9</f>
        <v>APS APUCARANA</v>
      </c>
      <c r="AJ9" s="67" t="n">
        <f aca="false">VLOOKUP(AI9,Unidades!D$5:H$29,5,)</f>
        <v>0.2288</v>
      </c>
      <c r="AK9" s="46" t="n">
        <f aca="false">AD9*(1+$AJ9)</f>
        <v>752.463071953115</v>
      </c>
      <c r="AL9" s="46" t="n">
        <f aca="false">AE9*(1+$AJ9)</f>
        <v>878.253908962685</v>
      </c>
      <c r="AM9" s="46" t="n">
        <f aca="false">AF9*(1+$AJ9)</f>
        <v>1444.31267550575</v>
      </c>
      <c r="AN9" s="46" t="n">
        <f aca="false">AG9*(1+$AJ9)</f>
        <v>3116.35122160145</v>
      </c>
      <c r="AO9" s="46" t="n">
        <f aca="false">((AK9*12)+(AL9*4)+(AM9*2)+AN9)/12</f>
        <v>1545.62908932509</v>
      </c>
      <c r="AP9" s="46" t="n">
        <f aca="false">AO9*3</f>
        <v>4636.88726797527</v>
      </c>
      <c r="AQ9" s="46" t="n">
        <f aca="false">AO9+AP9</f>
        <v>6182.51635730036</v>
      </c>
      <c r="AR9" s="68"/>
      <c r="AS9" s="68"/>
      <c r="AT9" s="70"/>
      <c r="AU9" s="70"/>
      <c r="AV9" s="70"/>
      <c r="AW9" s="70"/>
    </row>
    <row r="10" s="2" customFormat="true" ht="15" hidden="false" customHeight="true" outlineLevel="0" collapsed="false">
      <c r="B10" s="62" t="s">
        <v>86</v>
      </c>
      <c r="C10" s="63" t="n">
        <f aca="false">VLOOKUP($B10,Unidades!$D$5:$N$29,6,FALSE())</f>
        <v>876</v>
      </c>
      <c r="D10" s="63" t="n">
        <f aca="false">VLOOKUP($B10,Unidades!$D$5:$N$29,7,FALSE())</f>
        <v>591</v>
      </c>
      <c r="E10" s="63" t="n">
        <f aca="false">VLOOKUP($B10,Unidades!$D$5:$N$29,8,FALSE())</f>
        <v>285</v>
      </c>
      <c r="F10" s="63" t="n">
        <f aca="false">VLOOKUP($B10,Unidades!$D$5:$N$29,9,FALSE())</f>
        <v>0</v>
      </c>
      <c r="G10" s="63" t="n">
        <f aca="false">D10+E10*$E$6+F10*$F$6</f>
        <v>690.75</v>
      </c>
      <c r="H10" s="64" t="n">
        <f aca="false">IF(G10&lt;750,1.5,IF(G10&lt;2000,2,3))</f>
        <v>1.5</v>
      </c>
      <c r="I10" s="64" t="n">
        <f aca="false">$I$6*H10</f>
        <v>1.8</v>
      </c>
      <c r="J10" s="64" t="str">
        <f aca="false">VLOOKUP($B10,Unidades!$D$5:$N$29,10,FALSE())</f>
        <v>NÃO</v>
      </c>
      <c r="K10" s="64" t="str">
        <f aca="false">VLOOKUP($B10,Unidades!$D$5:$N$29,11,FALSE())</f>
        <v>NÃO</v>
      </c>
      <c r="L10" s="64" t="n">
        <f aca="false">$L$6*H10+(IF(J10="SIM",$J$6,0))</f>
        <v>1.65</v>
      </c>
      <c r="M10" s="64" t="n">
        <f aca="false">$M$6*H10+(IF(J10="SIM",$J$6,0))+(IF(K10="SIM",$K$6,0))</f>
        <v>1.65</v>
      </c>
      <c r="N10" s="64" t="n">
        <f aca="false">H10*12+I10*4+L10*2+M10</f>
        <v>30.15</v>
      </c>
      <c r="O10" s="65" t="n">
        <f aca="false">IF(K10="não", N10*(C$25+D$25),N10*(C$25+D$25)+(M10*E$25))</f>
        <v>1873.2195</v>
      </c>
      <c r="P10" s="66"/>
      <c r="Q10" s="22" t="str">
        <f aca="false">B10</f>
        <v>APS ARAPONGAS</v>
      </c>
      <c r="R10" s="24" t="n">
        <f aca="false">H10*($C$25+$D$25)</f>
        <v>93.195</v>
      </c>
      <c r="S10" s="24" t="n">
        <f aca="false">I10*($C$25+$D$25)</f>
        <v>111.834</v>
      </c>
      <c r="T10" s="24" t="n">
        <f aca="false">L10*($C$25+$D$25)</f>
        <v>102.5145</v>
      </c>
      <c r="U10" s="24" t="n">
        <f aca="false">IF(K10="não",M10*($C$25+$D$25),M10*(C$25+D$25+E$25))</f>
        <v>102.5145</v>
      </c>
      <c r="V10" s="24" t="n">
        <f aca="false">VLOOKUP(Q10,'Desl. Base Londrina'!$C$5:$S$19,13,FALSE())*($C$25+$D$25+$E$25*(VLOOKUP(Q10,'Desl. Base Londrina'!$C$5:$S$19,17,FALSE())/12))</f>
        <v>72.1105</v>
      </c>
      <c r="W10" s="24" t="n">
        <f aca="false">VLOOKUP(Q10,'Desl. Base Londrina'!$C$5:$Q$19,15,FALSE())*(2+(VLOOKUP(Q10,'Desl. Base Londrina'!$C$5:$S$19,17,FALSE())/12))</f>
        <v>0</v>
      </c>
      <c r="X10" s="24" t="n">
        <f aca="false">VLOOKUP(Q10,'Desl. Base Londrina'!$C$5:$Q$19,14,FALSE())</f>
        <v>0</v>
      </c>
      <c r="Y10" s="24" t="n">
        <f aca="false">VLOOKUP(Q10,'Desl. Base Londrina'!$C$5:$Q$19,13,FALSE())*'Desl. Base Londrina'!$E$24+'Desl. Base Londrina'!$E$25*N10/12</f>
        <v>75.420875</v>
      </c>
      <c r="Z10" s="24" t="n">
        <f aca="false">(H10/$AC$5)*'Equipe Técnica'!$C$13</f>
        <v>290.68816958487</v>
      </c>
      <c r="AA10" s="24" t="n">
        <f aca="false">(I10/$AC$5)*'Equipe Técnica'!$C$13</f>
        <v>348.825803501844</v>
      </c>
      <c r="AB10" s="24" t="n">
        <f aca="false">(L10/$AC$5)*'Equipe Técnica'!$C$13</f>
        <v>319.756986543357</v>
      </c>
      <c r="AC10" s="24" t="n">
        <f aca="false">(M10/$AC$5)*'Equipe Técnica'!$C$13</f>
        <v>319.756986543357</v>
      </c>
      <c r="AD10" s="24" t="n">
        <f aca="false">R10+(($V10+$W10+$X10+$Y10)*12/19)+$Z10</f>
        <v>477.060880111186</v>
      </c>
      <c r="AE10" s="24" t="n">
        <f aca="false">S10+(($V10+$W10+$X10+$Y10)*12/19)+$AA10</f>
        <v>553.83751402816</v>
      </c>
      <c r="AF10" s="24" t="n">
        <f aca="false">T10+(($V10+$W10+$X10+$Y10)*12/19)+$AB10</f>
        <v>515.449197069673</v>
      </c>
      <c r="AG10" s="24" t="n">
        <f aca="false">U10+(($V10+$W10+$X10+$Y10)*12/19)+$AC10</f>
        <v>515.449197069673</v>
      </c>
      <c r="AI10" s="22" t="str">
        <f aca="false">B10</f>
        <v>APS ARAPONGAS</v>
      </c>
      <c r="AJ10" s="67" t="n">
        <f aca="false">VLOOKUP(AI10,Unidades!D$5:H$29,5,)</f>
        <v>0.2624</v>
      </c>
      <c r="AK10" s="46" t="n">
        <f aca="false">AD10*(1+$AJ10)</f>
        <v>602.241655052362</v>
      </c>
      <c r="AL10" s="46" t="n">
        <f aca="false">AE10*(1+$AJ10)</f>
        <v>699.16447770915</v>
      </c>
      <c r="AM10" s="46" t="n">
        <f aca="false">AF10*(1+$AJ10)</f>
        <v>650.703066380756</v>
      </c>
      <c r="AN10" s="46" t="n">
        <f aca="false">AG10*(1+$AJ10)</f>
        <v>650.703066380756</v>
      </c>
      <c r="AO10" s="46" t="n">
        <f aca="false">((AK10*12)+(AL10*4)+(AM10*2)+AN10)/12</f>
        <v>997.9722475506</v>
      </c>
      <c r="AP10" s="46" t="n">
        <f aca="false">AO10*3</f>
        <v>2993.9167426518</v>
      </c>
      <c r="AQ10" s="46" t="n">
        <f aca="false">AO10+AP10</f>
        <v>3991.8889902024</v>
      </c>
      <c r="AR10" s="68"/>
      <c r="AS10" s="71" t="s">
        <v>72</v>
      </c>
      <c r="AT10" s="46" t="n">
        <f aca="false">(SUM(AT8:AW8))/12</f>
        <v>19069.7024961334</v>
      </c>
      <c r="AU10" s="46"/>
      <c r="AV10" s="70"/>
      <c r="AW10" s="70"/>
    </row>
    <row r="11" s="2" customFormat="true" ht="15" hidden="false" customHeight="true" outlineLevel="0" collapsed="false">
      <c r="B11" s="62" t="s">
        <v>87</v>
      </c>
      <c r="C11" s="63" t="n">
        <f aca="false">VLOOKUP($B11,Unidades!$D$5:$N$29,6,FALSE())</f>
        <v>540</v>
      </c>
      <c r="D11" s="63" t="n">
        <f aca="false">VLOOKUP($B11,Unidades!$D$5:$N$29,7,FALSE())</f>
        <v>540</v>
      </c>
      <c r="E11" s="63" t="n">
        <f aca="false">VLOOKUP($B11,Unidades!$D$5:$N$29,8,FALSE())</f>
        <v>0</v>
      </c>
      <c r="F11" s="63" t="n">
        <f aca="false">VLOOKUP($B11,Unidades!$D$5:$N$29,9,FALSE())</f>
        <v>0</v>
      </c>
      <c r="G11" s="63" t="n">
        <f aca="false">D11+E11*$E$6+F11*$F$6</f>
        <v>540</v>
      </c>
      <c r="H11" s="64" t="n">
        <f aca="false">IF(G11&lt;750,1.5,IF(G11&lt;2000,2,3))</f>
        <v>1.5</v>
      </c>
      <c r="I11" s="64" t="n">
        <f aca="false">$I$6*H11</f>
        <v>1.8</v>
      </c>
      <c r="J11" s="64" t="str">
        <f aca="false">VLOOKUP($B11,Unidades!$D$5:$N$29,10,FALSE())</f>
        <v>NÃO</v>
      </c>
      <c r="K11" s="64" t="str">
        <f aca="false">VLOOKUP($B11,Unidades!$D$5:$N$29,11,FALSE())</f>
        <v>SIM</v>
      </c>
      <c r="L11" s="64" t="n">
        <f aca="false">$L$6*H11+(IF(J11="SIM",$J$6,0))</f>
        <v>1.65</v>
      </c>
      <c r="M11" s="64" t="n">
        <f aca="false">$M$6*H11+(IF(J11="SIM",$J$6,0))+(IF(K11="SIM",$K$6,0))</f>
        <v>5.65</v>
      </c>
      <c r="N11" s="64" t="n">
        <f aca="false">H11*12+I11*4+L11*2+M11</f>
        <v>34.15</v>
      </c>
      <c r="O11" s="65" t="n">
        <f aca="false">IF(K11="não", N11*(C$25+D$25),N11*(C$25+D$25)+(M11*E$25))</f>
        <v>2353.9545</v>
      </c>
      <c r="P11" s="66"/>
      <c r="Q11" s="22" t="str">
        <f aca="false">B11</f>
        <v>APS BANDEIRANTES</v>
      </c>
      <c r="R11" s="24" t="n">
        <f aca="false">H11*($C$25+$D$25)</f>
        <v>93.195</v>
      </c>
      <c r="S11" s="24" t="n">
        <f aca="false">I11*($C$25+$D$25)</f>
        <v>111.834</v>
      </c>
      <c r="T11" s="24" t="n">
        <f aca="false">L11*($C$25+$D$25)</f>
        <v>102.5145</v>
      </c>
      <c r="U11" s="24" t="n">
        <f aca="false">IF(K11="não",M11*($C$25+$D$25),M11*(C$25+D$25+E$25))</f>
        <v>583.2495</v>
      </c>
      <c r="V11" s="24" t="n">
        <f aca="false">VLOOKUP(Q11,'Desl. Base Londrina'!$C$5:$S$19,13,FALSE())*($C$25+$D$25+$E$25*(VLOOKUP(Q11,'Desl. Base Londrina'!$C$5:$S$19,17,FALSE())/12))</f>
        <v>104.341708333333</v>
      </c>
      <c r="W11" s="24" t="n">
        <f aca="false">VLOOKUP(Q11,'Desl. Base Londrina'!$C$5:$Q$19,15,FALSE())*(2+(VLOOKUP(Q11,'Desl. Base Londrina'!$C$5:$S$19,17,FALSE())/12))</f>
        <v>0</v>
      </c>
      <c r="X11" s="24" t="n">
        <f aca="false">VLOOKUP(Q11,'Desl. Base Londrina'!$C$5:$Q$19,14,FALSE())</f>
        <v>0</v>
      </c>
      <c r="Y11" s="24" t="n">
        <f aca="false">VLOOKUP(Q11,'Desl. Base Londrina'!$C$5:$Q$19,13,FALSE())*'Desl. Base Londrina'!$E$24+'Desl. Base Londrina'!$E$25*N11/12</f>
        <v>103.643458333333</v>
      </c>
      <c r="Z11" s="24" t="n">
        <f aca="false">(H11/$AC$5)*'Equipe Técnica'!$C$13</f>
        <v>290.68816958487</v>
      </c>
      <c r="AA11" s="24" t="n">
        <f aca="false">(I11/$AC$5)*'Equipe Técnica'!$C$13</f>
        <v>348.825803501844</v>
      </c>
      <c r="AB11" s="24" t="n">
        <f aca="false">(L11/$AC$5)*'Equipe Técnica'!$C$13</f>
        <v>319.756986543357</v>
      </c>
      <c r="AC11" s="24" t="n">
        <f aca="false">(M11/$AC$5)*'Equipe Técnica'!$C$13</f>
        <v>1094.92543876968</v>
      </c>
      <c r="AD11" s="24" t="n">
        <f aca="false">R11+(($V11+$W11+$X11+$Y11)*12/19)+$Z11</f>
        <v>515.242222216449</v>
      </c>
      <c r="AE11" s="24" t="n">
        <f aca="false">S11+(($V11+$W11+$X11+$Y11)*12/19)+$AA11</f>
        <v>592.018856133423</v>
      </c>
      <c r="AF11" s="24" t="n">
        <f aca="false">T11+(($V11+$W11+$X11+$Y11)*12/19)+$AB11</f>
        <v>553.630539174936</v>
      </c>
      <c r="AG11" s="24" t="n">
        <f aca="false">U11+(($V11+$W11+$X11+$Y11)*12/19)+$AC11</f>
        <v>1809.53399140126</v>
      </c>
      <c r="AI11" s="22" t="str">
        <f aca="false">B11</f>
        <v>APS BANDEIRANTES</v>
      </c>
      <c r="AJ11" s="67" t="n">
        <f aca="false">VLOOKUP(AI11,Unidades!D$5:H$29,5,)</f>
        <v>0.2624</v>
      </c>
      <c r="AK11" s="46" t="n">
        <f aca="false">AD11*(1+$AJ11)</f>
        <v>650.441781326046</v>
      </c>
      <c r="AL11" s="46" t="n">
        <f aca="false">AE11*(1+$AJ11)</f>
        <v>747.364603982834</v>
      </c>
      <c r="AM11" s="46" t="n">
        <f aca="false">AF11*(1+$AJ11)</f>
        <v>698.90319265444</v>
      </c>
      <c r="AN11" s="46" t="n">
        <f aca="false">AG11*(1+$AJ11)</f>
        <v>2284.35571074495</v>
      </c>
      <c r="AO11" s="46" t="n">
        <f aca="false">((AK11*12)+(AL11*4)+(AM11*2)+AN11)/12</f>
        <v>1206.41015732481</v>
      </c>
      <c r="AP11" s="46" t="n">
        <f aca="false">AO11*3</f>
        <v>3619.23047197443</v>
      </c>
      <c r="AQ11" s="46" t="n">
        <f aca="false">AO11+AP11</f>
        <v>4825.64062929924</v>
      </c>
      <c r="AR11" s="68"/>
      <c r="AS11" s="71" t="s">
        <v>88</v>
      </c>
      <c r="AT11" s="46" t="n">
        <f aca="false">AT10*12</f>
        <v>228836.429953601</v>
      </c>
      <c r="AU11" s="46"/>
      <c r="AV11" s="70"/>
      <c r="AW11" s="70"/>
    </row>
    <row r="12" s="2" customFormat="true" ht="15" hidden="false" customHeight="true" outlineLevel="0" collapsed="false">
      <c r="B12" s="62" t="s">
        <v>89</v>
      </c>
      <c r="C12" s="63" t="n">
        <f aca="false">VLOOKUP($B12,Unidades!$D$5:$N$29,6,FALSE())</f>
        <v>334.4</v>
      </c>
      <c r="D12" s="63" t="n">
        <f aca="false">VLOOKUP($B12,Unidades!$D$5:$N$29,7,FALSE())</f>
        <v>296</v>
      </c>
      <c r="E12" s="63" t="n">
        <f aca="false">VLOOKUP($B12,Unidades!$D$5:$N$29,8,FALSE())</f>
        <v>38.4</v>
      </c>
      <c r="F12" s="63" t="n">
        <f aca="false">VLOOKUP($B12,Unidades!$D$5:$N$29,9,FALSE())</f>
        <v>0</v>
      </c>
      <c r="G12" s="63" t="n">
        <f aca="false">D12+E12*$E$6+F12*$F$6</f>
        <v>309.44</v>
      </c>
      <c r="H12" s="64" t="n">
        <f aca="false">IF(G12&lt;750,1.5,IF(G12&lt;2000,2,3))</f>
        <v>1.5</v>
      </c>
      <c r="I12" s="64" t="n">
        <f aca="false">$I$6*H12</f>
        <v>1.8</v>
      </c>
      <c r="J12" s="64" t="str">
        <f aca="false">VLOOKUP($B12,Unidades!$D$5:$N$29,10,FALSE())</f>
        <v>NÃO</v>
      </c>
      <c r="K12" s="64" t="str">
        <f aca="false">VLOOKUP($B12,Unidades!$D$5:$N$29,11,FALSE())</f>
        <v>NÃO</v>
      </c>
      <c r="L12" s="64" t="n">
        <f aca="false">$L$6*H12+(IF(J12="SIM",$J$6,0))</f>
        <v>1.65</v>
      </c>
      <c r="M12" s="64" t="n">
        <f aca="false">$M$6*H12+(IF(J12="SIM",$J$6,0))+(IF(K12="SIM",$K$6,0))</f>
        <v>1.65</v>
      </c>
      <c r="N12" s="64" t="n">
        <f aca="false">H12*12+I12*4+L12*2+M12</f>
        <v>30.15</v>
      </c>
      <c r="O12" s="65" t="n">
        <f aca="false">IF(K12="não", N12*(C$25+D$25),N12*(C$25+D$25)+(M12*E$25))</f>
        <v>1873.2195</v>
      </c>
      <c r="P12" s="66"/>
      <c r="Q12" s="22" t="str">
        <f aca="false">B12</f>
        <v>APS CAMBARÁ</v>
      </c>
      <c r="R12" s="24" t="n">
        <f aca="false">H12*($C$25+$D$25)</f>
        <v>93.195</v>
      </c>
      <c r="S12" s="24" t="n">
        <f aca="false">I12*($C$25+$D$25)</f>
        <v>111.834</v>
      </c>
      <c r="T12" s="24" t="n">
        <f aca="false">L12*($C$25+$D$25)</f>
        <v>102.5145</v>
      </c>
      <c r="U12" s="24" t="n">
        <f aca="false">IF(K12="não",M12*($C$25+$D$25),M12*(C$25+D$25+E$25))</f>
        <v>102.5145</v>
      </c>
      <c r="V12" s="24" t="n">
        <f aca="false">VLOOKUP(Q12,'Desl. Base Londrina'!$C$5:$S$19,13,FALSE())*($C$25+$D$25+$E$25*(VLOOKUP(Q12,'Desl. Base Londrina'!$C$5:$S$19,17,FALSE())/12))</f>
        <v>120.118</v>
      </c>
      <c r="W12" s="24" t="n">
        <f aca="false">VLOOKUP(Q12,'Desl. Base Londrina'!$C$5:$Q$19,15,FALSE())*(2+(VLOOKUP(Q12,'Desl. Base Londrina'!$C$5:$S$19,17,FALSE())/12))</f>
        <v>0</v>
      </c>
      <c r="X12" s="24" t="n">
        <f aca="false">VLOOKUP(Q12,'Desl. Base Londrina'!$C$5:$Q$19,14,FALSE())</f>
        <v>0</v>
      </c>
      <c r="Y12" s="24" t="n">
        <f aca="false">VLOOKUP(Q12,'Desl. Base Londrina'!$C$5:$Q$19,13,FALSE())*'Desl. Base Londrina'!$E$24+'Desl. Base Londrina'!$E$25*N12/12</f>
        <v>119.329208333333</v>
      </c>
      <c r="Z12" s="24" t="n">
        <f aca="false">(H12/$AC$5)*'Equipe Técnica'!$C$13</f>
        <v>290.68816958487</v>
      </c>
      <c r="AA12" s="24" t="n">
        <f aca="false">(I12/$AC$5)*'Equipe Técnica'!$C$13</f>
        <v>348.825803501844</v>
      </c>
      <c r="AB12" s="24" t="n">
        <f aca="false">(L12/$AC$5)*'Equipe Técnica'!$C$13</f>
        <v>319.756986543357</v>
      </c>
      <c r="AC12" s="24" t="n">
        <f aca="false">(M12/$AC$5)*'Equipe Técnica'!$C$13</f>
        <v>319.756986543357</v>
      </c>
      <c r="AD12" s="24" t="n">
        <f aca="false">R12+(($V12+$W12+$X12+$Y12)*12/19)+$Z12</f>
        <v>535.112985374344</v>
      </c>
      <c r="AE12" s="24" t="n">
        <f aca="false">S12+(($V12+$W12+$X12+$Y12)*12/19)+$AA12</f>
        <v>611.889619291318</v>
      </c>
      <c r="AF12" s="24" t="n">
        <f aca="false">T12+(($V12+$W12+$X12+$Y12)*12/19)+$AB12</f>
        <v>573.501302332831</v>
      </c>
      <c r="AG12" s="24" t="n">
        <f aca="false">U12+(($V12+$W12+$X12+$Y12)*12/19)+$AC12</f>
        <v>573.501302332831</v>
      </c>
      <c r="AI12" s="22" t="str">
        <f aca="false">B12</f>
        <v>APS CAMBARÁ</v>
      </c>
      <c r="AJ12" s="67" t="n">
        <f aca="false">VLOOKUP(AI12,Unidades!D$5:H$29,5,)</f>
        <v>0.2354</v>
      </c>
      <c r="AK12" s="46" t="n">
        <f aca="false">AD12*(1+$AJ12)</f>
        <v>661.078582131465</v>
      </c>
      <c r="AL12" s="46" t="n">
        <f aca="false">AE12*(1+$AJ12)</f>
        <v>755.928435672494</v>
      </c>
      <c r="AM12" s="46" t="n">
        <f aca="false">AF12*(1+$AJ12)</f>
        <v>708.50350890198</v>
      </c>
      <c r="AN12" s="46" t="n">
        <f aca="false">AG12*(1+$AJ12)</f>
        <v>708.50350890198</v>
      </c>
      <c r="AO12" s="46" t="n">
        <f aca="false">((AK12*12)+(AL12*4)+(AM12*2)+AN12)/12</f>
        <v>1090.18060458112</v>
      </c>
      <c r="AP12" s="46" t="n">
        <f aca="false">AO12*3</f>
        <v>3270.54181374337</v>
      </c>
      <c r="AQ12" s="46" t="n">
        <f aca="false">AO12+AP12</f>
        <v>4360.7224183245</v>
      </c>
      <c r="AR12" s="68"/>
      <c r="AS12" s="71" t="s">
        <v>73</v>
      </c>
      <c r="AT12" s="46" t="n">
        <f aca="false">AT10*3</f>
        <v>57209.1074884002</v>
      </c>
      <c r="AU12" s="46"/>
      <c r="AV12" s="68"/>
      <c r="AW12" s="68"/>
    </row>
    <row r="13" s="2" customFormat="true" ht="15" hidden="false" customHeight="true" outlineLevel="0" collapsed="false">
      <c r="B13" s="62" t="s">
        <v>90</v>
      </c>
      <c r="C13" s="63" t="n">
        <f aca="false">VLOOKUP($B13,Unidades!$D$5:$N$29,6,FALSE())</f>
        <v>640</v>
      </c>
      <c r="D13" s="63" t="n">
        <f aca="false">VLOOKUP($B13,Unidades!$D$5:$N$29,7,FALSE())</f>
        <v>432</v>
      </c>
      <c r="E13" s="63" t="n">
        <f aca="false">VLOOKUP($B13,Unidades!$D$5:$N$29,8,FALSE())</f>
        <v>208</v>
      </c>
      <c r="F13" s="63" t="n">
        <f aca="false">VLOOKUP($B13,Unidades!$D$5:$N$29,9,FALSE())</f>
        <v>0</v>
      </c>
      <c r="G13" s="63" t="n">
        <f aca="false">D13+E13*$E$6+F13*$F$6</f>
        <v>504.8</v>
      </c>
      <c r="H13" s="64" t="n">
        <f aca="false">IF(G13&lt;750,1.5,IF(G13&lt;2000,2,3))</f>
        <v>1.5</v>
      </c>
      <c r="I13" s="64" t="n">
        <f aca="false">$I$6*H13</f>
        <v>1.8</v>
      </c>
      <c r="J13" s="64" t="str">
        <f aca="false">VLOOKUP($B13,Unidades!$D$5:$N$29,10,FALSE())</f>
        <v>NÃO</v>
      </c>
      <c r="K13" s="64" t="str">
        <f aca="false">VLOOKUP($B13,Unidades!$D$5:$N$29,11,FALSE())</f>
        <v>NÃO</v>
      </c>
      <c r="L13" s="64" t="n">
        <f aca="false">$L$6*H13+(IF(J13="SIM",$J$6,0))</f>
        <v>1.65</v>
      </c>
      <c r="M13" s="64" t="n">
        <f aca="false">$M$6*H13+(IF(J13="SIM",$J$6,0))+(IF(K13="SIM",$K$6,0))</f>
        <v>1.65</v>
      </c>
      <c r="N13" s="64" t="n">
        <f aca="false">H13*12+I13*4+L13*2+M13</f>
        <v>30.15</v>
      </c>
      <c r="O13" s="65" t="n">
        <f aca="false">IF(K13="não", N13*(C$25+D$25),N13*(C$25+D$25)+(M13*E$25))</f>
        <v>1873.2195</v>
      </c>
      <c r="P13" s="66"/>
      <c r="Q13" s="22" t="str">
        <f aca="false">B13</f>
        <v>APS CAMBÉ</v>
      </c>
      <c r="R13" s="24" t="n">
        <f aca="false">H13*($C$25+$D$25)</f>
        <v>93.195</v>
      </c>
      <c r="S13" s="24" t="n">
        <f aca="false">I13*($C$25+$D$25)</f>
        <v>111.834</v>
      </c>
      <c r="T13" s="24" t="n">
        <f aca="false">L13*($C$25+$D$25)</f>
        <v>102.5145</v>
      </c>
      <c r="U13" s="24" t="n">
        <f aca="false">IF(K13="não",M13*($C$25+$D$25),M13*(C$25+D$25+E$25))</f>
        <v>102.5145</v>
      </c>
      <c r="V13" s="24" t="n">
        <f aca="false">VLOOKUP(Q13,'Desl. Base Londrina'!$C$5:$S$19,13,FALSE())*($C$25+$D$25+$E$25*(VLOOKUP(Q13,'Desl. Base Londrina'!$C$5:$S$19,17,FALSE())/12))</f>
        <v>40.4255833333333</v>
      </c>
      <c r="W13" s="24" t="n">
        <f aca="false">VLOOKUP(Q13,'Desl. Base Londrina'!$C$5:$Q$19,15,FALSE())*(2+(VLOOKUP(Q13,'Desl. Base Londrina'!$C$5:$S$19,17,FALSE())/12))</f>
        <v>0</v>
      </c>
      <c r="X13" s="24" t="n">
        <f aca="false">VLOOKUP(Q13,'Desl. Base Londrina'!$C$5:$Q$19,14,FALSE())</f>
        <v>0</v>
      </c>
      <c r="Y13" s="24" t="n">
        <f aca="false">VLOOKUP(Q13,'Desl. Base Londrina'!$C$5:$Q$19,13,FALSE())*'Desl. Base Londrina'!$E$24+'Desl. Base Londrina'!$E$25*N13/12</f>
        <v>49.9540416666667</v>
      </c>
      <c r="Z13" s="24" t="n">
        <f aca="false">(H13/$AC$5)*'Equipe Técnica'!$C$13</f>
        <v>290.68816958487</v>
      </c>
      <c r="AA13" s="24" t="n">
        <f aca="false">(I13/$AC$5)*'Equipe Técnica'!$C$13</f>
        <v>348.825803501844</v>
      </c>
      <c r="AB13" s="24" t="n">
        <f aca="false">(L13/$AC$5)*'Equipe Técnica'!$C$13</f>
        <v>319.756986543357</v>
      </c>
      <c r="AC13" s="24" t="n">
        <f aca="false">(M13/$AC$5)*'Equipe Técnica'!$C$13</f>
        <v>319.756986543357</v>
      </c>
      <c r="AD13" s="24" t="n">
        <f aca="false">R13+(($V13+$W13+$X13+$Y13)*12/19)+$Z13</f>
        <v>440.965038005923</v>
      </c>
      <c r="AE13" s="24" t="n">
        <f aca="false">S13+(($V13+$W13+$X13+$Y13)*12/19)+$AA13</f>
        <v>517.741671922897</v>
      </c>
      <c r="AF13" s="24" t="n">
        <f aca="false">T13+(($V13+$W13+$X13+$Y13)*12/19)+$AB13</f>
        <v>479.35335496441</v>
      </c>
      <c r="AG13" s="24" t="n">
        <f aca="false">U13+(($V13+$W13+$X13+$Y13)*12/19)+$AC13</f>
        <v>479.35335496441</v>
      </c>
      <c r="AI13" s="22" t="str">
        <f aca="false">B13</f>
        <v>APS CAMBÉ</v>
      </c>
      <c r="AJ13" s="67" t="n">
        <f aca="false">VLOOKUP(AI13,Unidades!D$5:H$29,5,)</f>
        <v>0.2624</v>
      </c>
      <c r="AK13" s="46" t="n">
        <f aca="false">AD13*(1+$AJ13)</f>
        <v>556.674263978677</v>
      </c>
      <c r="AL13" s="46" t="n">
        <f aca="false">AE13*(1+$AJ13)</f>
        <v>653.597086635465</v>
      </c>
      <c r="AM13" s="46" t="n">
        <f aca="false">AF13*(1+$AJ13)</f>
        <v>605.135675307071</v>
      </c>
      <c r="AN13" s="46" t="n">
        <f aca="false">AG13*(1+$AJ13)</f>
        <v>605.135675307071</v>
      </c>
      <c r="AO13" s="46" t="n">
        <f aca="false">((AK13*12)+(AL13*4)+(AM13*2)+AN13)/12</f>
        <v>925.8238783506</v>
      </c>
      <c r="AP13" s="46" t="n">
        <f aca="false">AO13*3</f>
        <v>2777.4716350518</v>
      </c>
      <c r="AQ13" s="46" t="n">
        <f aca="false">AO13+AP13</f>
        <v>3703.2955134024</v>
      </c>
      <c r="AR13" s="68"/>
      <c r="AS13" s="71" t="s">
        <v>91</v>
      </c>
      <c r="AT13" s="46" t="n">
        <f aca="false">AT12*12</f>
        <v>686509.289860803</v>
      </c>
      <c r="AU13" s="46"/>
      <c r="AV13" s="70"/>
      <c r="AW13" s="70"/>
    </row>
    <row r="14" s="2" customFormat="true" ht="15" hidden="false" customHeight="true" outlineLevel="0" collapsed="false">
      <c r="B14" s="62" t="s">
        <v>92</v>
      </c>
      <c r="C14" s="63" t="n">
        <f aca="false">VLOOKUP($B14,Unidades!$D$5:$N$29,6,FALSE())</f>
        <v>3162.34</v>
      </c>
      <c r="D14" s="63" t="n">
        <f aca="false">VLOOKUP($B14,Unidades!$D$5:$N$29,7,FALSE())</f>
        <v>777.69</v>
      </c>
      <c r="E14" s="63" t="n">
        <f aca="false">VLOOKUP($B14,Unidades!$D$5:$N$29,8,FALSE())</f>
        <v>2384.65</v>
      </c>
      <c r="F14" s="63" t="n">
        <f aca="false">VLOOKUP($B14,Unidades!$D$5:$N$29,9,FALSE())</f>
        <v>0</v>
      </c>
      <c r="G14" s="63" t="n">
        <f aca="false">D14+E14*$E$6+F14*$F$6</f>
        <v>1612.3175</v>
      </c>
      <c r="H14" s="64" t="n">
        <f aca="false">IF(G14&lt;750,1.5,IF(G14&lt;2000,2,3))</f>
        <v>2</v>
      </c>
      <c r="I14" s="64" t="n">
        <f aca="false">$I$6*H14</f>
        <v>2.4</v>
      </c>
      <c r="J14" s="64" t="str">
        <f aca="false">VLOOKUP($B14,Unidades!$D$5:$N$29,10,FALSE())</f>
        <v>SIM</v>
      </c>
      <c r="K14" s="64" t="str">
        <f aca="false">VLOOKUP($B14,Unidades!$D$5:$N$29,11,FALSE())</f>
        <v>SIM</v>
      </c>
      <c r="L14" s="64" t="n">
        <f aca="false">$L$6*H14+(IF(J14="SIM",$J$6,0))</f>
        <v>4.2</v>
      </c>
      <c r="M14" s="64" t="n">
        <f aca="false">$M$6*H14+(IF(J14="SIM",$J$6,0))+(IF(K14="SIM",$K$6,0))</f>
        <v>8.2</v>
      </c>
      <c r="N14" s="64" t="n">
        <f aca="false">H14*12+I14*4+L14*2+M14</f>
        <v>50.2</v>
      </c>
      <c r="O14" s="65" t="n">
        <f aca="false">IF(K14="não", N14*(C$25+D$25),N14*(C$25+D$25)+(M14*E$25))</f>
        <v>3455.946</v>
      </c>
      <c r="P14" s="66"/>
      <c r="Q14" s="22" t="str">
        <f aca="false">B14</f>
        <v>APS CORNÉLIO PROCÓPIO</v>
      </c>
      <c r="R14" s="24" t="n">
        <f aca="false">H14*($C$25+$D$25)</f>
        <v>124.26</v>
      </c>
      <c r="S14" s="24" t="n">
        <f aca="false">I14*($C$25+$D$25)</f>
        <v>149.112</v>
      </c>
      <c r="T14" s="24" t="n">
        <f aca="false">L14*($C$25+$D$25)</f>
        <v>260.946</v>
      </c>
      <c r="U14" s="24" t="n">
        <f aca="false">IF(K14="não",M14*($C$25+$D$25),M14*(C$25+D$25+E$25))</f>
        <v>846.486</v>
      </c>
      <c r="V14" s="24" t="n">
        <f aca="false">VLOOKUP(Q14,'Desl. Base Londrina'!$C$5:$S$19,13,FALSE())*($C$25+$D$25+$E$25*(VLOOKUP(Q14,'Desl. Base Londrina'!$C$5:$S$19,17,FALSE())/12))</f>
        <v>104.341708333333</v>
      </c>
      <c r="W14" s="24" t="n">
        <f aca="false">VLOOKUP(Q14,'Desl. Base Londrina'!$C$5:$Q$19,15,FALSE())*(2+(VLOOKUP(Q14,'Desl. Base Londrina'!$C$5:$S$19,17,FALSE())/12))</f>
        <v>0</v>
      </c>
      <c r="X14" s="24" t="n">
        <f aca="false">VLOOKUP(Q14,'Desl. Base Londrina'!$C$5:$Q$19,14,FALSE())</f>
        <v>0</v>
      </c>
      <c r="Y14" s="24" t="n">
        <f aca="false">VLOOKUP(Q14,'Desl. Base Londrina'!$C$5:$Q$19,13,FALSE())*'Desl. Base Londrina'!$E$24+'Desl. Base Londrina'!$E$25*N14/12</f>
        <v>112.939083333333</v>
      </c>
      <c r="Z14" s="24" t="n">
        <f aca="false">(H14/$AC$5)*'Equipe Técnica'!$C$13</f>
        <v>387.584226113161</v>
      </c>
      <c r="AA14" s="24" t="n">
        <f aca="false">(I14/$AC$5)*'Equipe Técnica'!$C$13</f>
        <v>465.101071335793</v>
      </c>
      <c r="AB14" s="24" t="n">
        <f aca="false">(L14/$AC$5)*'Equipe Técnica'!$C$13</f>
        <v>813.926874837637</v>
      </c>
      <c r="AC14" s="24" t="n">
        <f aca="false">(M14/$AC$5)*'Equipe Técnica'!$C$13</f>
        <v>1589.09532706396</v>
      </c>
      <c r="AD14" s="24" t="n">
        <f aca="false">R14+(($V14+$W14+$X14+$Y14)*12/19)+$Z14</f>
        <v>649.074199797371</v>
      </c>
      <c r="AE14" s="24" t="n">
        <f aca="false">S14+(($V14+$W14+$X14+$Y14)*12/19)+$AA14</f>
        <v>751.443045020003</v>
      </c>
      <c r="AF14" s="24" t="n">
        <f aca="false">T14+(($V14+$W14+$X14+$Y14)*12/19)+$AB14</f>
        <v>1212.10284852185</v>
      </c>
      <c r="AG14" s="24" t="n">
        <f aca="false">U14+(($V14+$W14+$X14+$Y14)*12/19)+$AC14</f>
        <v>2572.81130074817</v>
      </c>
      <c r="AI14" s="22" t="str">
        <f aca="false">B14</f>
        <v>APS CORNÉLIO PROCÓPIO</v>
      </c>
      <c r="AJ14" s="67" t="n">
        <f aca="false">VLOOKUP(AI14,Unidades!D$5:H$29,5,)</f>
        <v>0.2624</v>
      </c>
      <c r="AK14" s="46" t="n">
        <f aca="false">AD14*(1+$AJ14)</f>
        <v>819.391269824201</v>
      </c>
      <c r="AL14" s="46" t="n">
        <f aca="false">AE14*(1+$AJ14)</f>
        <v>948.621700033252</v>
      </c>
      <c r="AM14" s="46" t="n">
        <f aca="false">AF14*(1+$AJ14)</f>
        <v>1530.15863597398</v>
      </c>
      <c r="AN14" s="46" t="n">
        <f aca="false">AG14*(1+$AJ14)</f>
        <v>3247.91698606449</v>
      </c>
      <c r="AO14" s="46" t="n">
        <f aca="false">((AK14*12)+(AL14*4)+(AM14*2)+AN14)/12</f>
        <v>1661.28469133632</v>
      </c>
      <c r="AP14" s="46" t="n">
        <f aca="false">AO14*3</f>
        <v>4983.85407400897</v>
      </c>
      <c r="AQ14" s="46" t="n">
        <f aca="false">AO14+AP14</f>
        <v>6645.13876534529</v>
      </c>
      <c r="AR14" s="68"/>
      <c r="AS14" s="71" t="s">
        <v>93</v>
      </c>
      <c r="AT14" s="46" t="n">
        <f aca="false">AT10+AT12</f>
        <v>76278.8099845336</v>
      </c>
      <c r="AU14" s="46"/>
      <c r="AV14" s="70"/>
      <c r="AW14" s="70"/>
    </row>
    <row r="15" s="2" customFormat="true" ht="15" hidden="false" customHeight="true" outlineLevel="0" collapsed="false">
      <c r="B15" s="62" t="s">
        <v>94</v>
      </c>
      <c r="C15" s="63" t="n">
        <f aca="false">VLOOKUP($B15,Unidades!$D$5:$N$29,6,FALSE())</f>
        <v>2748</v>
      </c>
      <c r="D15" s="63" t="n">
        <f aca="false">VLOOKUP($B15,Unidades!$D$5:$N$29,7,FALSE())</f>
        <v>1090</v>
      </c>
      <c r="E15" s="63" t="n">
        <f aca="false">VLOOKUP($B15,Unidades!$D$5:$N$29,8,FALSE())</f>
        <v>1313.41</v>
      </c>
      <c r="F15" s="63" t="n">
        <f aca="false">VLOOKUP($B15,Unidades!$D$5:$N$29,9,FALSE())</f>
        <v>344.59</v>
      </c>
      <c r="G15" s="63" t="n">
        <f aca="false">D15+E15*$E$6+F15*$F$6</f>
        <v>1584.1525</v>
      </c>
      <c r="H15" s="64" t="n">
        <f aca="false">IF(G15&lt;750,1.5,IF(G15&lt;2000,2,3))</f>
        <v>2</v>
      </c>
      <c r="I15" s="64" t="n">
        <f aca="false">$I$6*H15</f>
        <v>2.4</v>
      </c>
      <c r="J15" s="64" t="str">
        <f aca="false">VLOOKUP($B15,Unidades!$D$5:$N$29,10,FALSE())</f>
        <v>SIM</v>
      </c>
      <c r="K15" s="64" t="str">
        <f aca="false">VLOOKUP($B15,Unidades!$D$5:$N$29,11,FALSE())</f>
        <v>SIM</v>
      </c>
      <c r="L15" s="64" t="n">
        <f aca="false">$L$6*H15+(IF(J15="SIM",$J$6,0))</f>
        <v>4.2</v>
      </c>
      <c r="M15" s="64" t="n">
        <f aca="false">$M$6*H15+(IF(J15="SIM",$J$6,0))+(IF(K15="SIM",$K$6,0))</f>
        <v>8.2</v>
      </c>
      <c r="N15" s="64" t="n">
        <f aca="false">H15*12+I15*4+L15*2+M15</f>
        <v>50.2</v>
      </c>
      <c r="O15" s="65" t="n">
        <f aca="false">IF(K15="não", N15*(C$25+D$25),N15*(C$25+D$25)+(M15*E$25))</f>
        <v>3455.946</v>
      </c>
      <c r="P15" s="66"/>
      <c r="Q15" s="22" t="str">
        <f aca="false">B15</f>
        <v>APS JACAREZINHO</v>
      </c>
      <c r="R15" s="24" t="n">
        <f aca="false">H15*($C$25+$D$25)</f>
        <v>124.26</v>
      </c>
      <c r="S15" s="24" t="n">
        <f aca="false">I15*($C$25+$D$25)</f>
        <v>149.112</v>
      </c>
      <c r="T15" s="24" t="n">
        <f aca="false">L15*($C$25+$D$25)</f>
        <v>260.946</v>
      </c>
      <c r="U15" s="24" t="n">
        <f aca="false">IF(K15="não",M15*($C$25+$D$25),M15*(C$25+D$25+E$25))</f>
        <v>846.486</v>
      </c>
      <c r="V15" s="24" t="n">
        <f aca="false">VLOOKUP(Q15,'Desl. Base Londrina'!$C$5:$S$19,13,FALSE())*($C$25+$D$25+$E$25*(VLOOKUP(Q15,'Desl. Base Londrina'!$C$5:$S$19,17,FALSE())/12))</f>
        <v>162.248625</v>
      </c>
      <c r="W15" s="24" t="n">
        <f aca="false">VLOOKUP(Q15,'Desl. Base Londrina'!$C$5:$Q$19,15,FALSE())*(2+(VLOOKUP(Q15,'Desl. Base Londrina'!$C$5:$S$19,17,FALSE())/12))</f>
        <v>0</v>
      </c>
      <c r="X15" s="24" t="n">
        <f aca="false">VLOOKUP(Q15,'Desl. Base Londrina'!$C$5:$Q$19,14,FALSE())</f>
        <v>0</v>
      </c>
      <c r="Y15" s="24" t="n">
        <f aca="false">VLOOKUP(Q15,'Desl. Base Londrina'!$C$5:$Q$19,13,FALSE())*'Desl. Base Londrina'!$E$24+'Desl. Base Londrina'!$E$25*N15/12</f>
        <v>159.481916666667</v>
      </c>
      <c r="Z15" s="24" t="n">
        <f aca="false">(H15/$AC$5)*'Equipe Técnica'!$C$13</f>
        <v>387.584226113161</v>
      </c>
      <c r="AA15" s="24" t="n">
        <f aca="false">(I15/$AC$5)*'Equipe Técnica'!$C$13</f>
        <v>465.101071335793</v>
      </c>
      <c r="AB15" s="24" t="n">
        <f aca="false">(L15/$AC$5)*'Equipe Técnica'!$C$13</f>
        <v>813.926874837637</v>
      </c>
      <c r="AC15" s="24" t="n">
        <f aca="false">(M15/$AC$5)*'Equipe Técnica'!$C$13</f>
        <v>1589.09532706396</v>
      </c>
      <c r="AD15" s="24" t="n">
        <f aca="false">R15+(($V15+$W15+$X15+$Y15)*12/19)+$Z15</f>
        <v>715.042462955266</v>
      </c>
      <c r="AE15" s="24" t="n">
        <f aca="false">S15+(($V15+$W15+$X15+$Y15)*12/19)+$AA15</f>
        <v>817.411308177898</v>
      </c>
      <c r="AF15" s="24" t="n">
        <f aca="false">T15+(($V15+$W15+$X15+$Y15)*12/19)+$AB15</f>
        <v>1278.07111167974</v>
      </c>
      <c r="AG15" s="24" t="n">
        <f aca="false">U15+(($V15+$W15+$X15+$Y15)*12/19)+$AC15</f>
        <v>2638.77956390606</v>
      </c>
      <c r="AI15" s="22" t="str">
        <f aca="false">B15</f>
        <v>APS JACAREZINHO</v>
      </c>
      <c r="AJ15" s="67" t="n">
        <f aca="false">VLOOKUP(AI15,Unidades!D$5:H$29,5,)</f>
        <v>0.2624</v>
      </c>
      <c r="AK15" s="46" t="n">
        <f aca="false">AD15*(1+$AJ15)</f>
        <v>902.669605234728</v>
      </c>
      <c r="AL15" s="46" t="n">
        <f aca="false">AE15*(1+$AJ15)</f>
        <v>1031.90003544378</v>
      </c>
      <c r="AM15" s="46" t="n">
        <f aca="false">AF15*(1+$AJ15)</f>
        <v>1613.43697138451</v>
      </c>
      <c r="AN15" s="46" t="n">
        <f aca="false">AG15*(1+$AJ15)</f>
        <v>3331.19532147501</v>
      </c>
      <c r="AO15" s="46" t="n">
        <f aca="false">((AK15*12)+(AL15*4)+(AM15*2)+AN15)/12</f>
        <v>1793.14205573632</v>
      </c>
      <c r="AP15" s="46" t="n">
        <f aca="false">AO15*3</f>
        <v>5379.42616720897</v>
      </c>
      <c r="AQ15" s="46" t="n">
        <f aca="false">AO15+AP15</f>
        <v>7172.56822294529</v>
      </c>
      <c r="AR15" s="68"/>
      <c r="AS15" s="71" t="s">
        <v>95</v>
      </c>
      <c r="AT15" s="46" t="n">
        <f aca="false">AT11+AT13</f>
        <v>915345.719814404</v>
      </c>
      <c r="AU15" s="46"/>
      <c r="AV15" s="68"/>
      <c r="AW15" s="68"/>
    </row>
    <row r="16" s="2" customFormat="true" ht="15" hidden="false" customHeight="true" outlineLevel="0" collapsed="false">
      <c r="B16" s="62" t="s">
        <v>96</v>
      </c>
      <c r="C16" s="63" t="n">
        <f aca="false">VLOOKUP($B16,Unidades!$D$5:$N$29,6,FALSE())</f>
        <v>2227.69</v>
      </c>
      <c r="D16" s="63" t="n">
        <f aca="false">VLOOKUP($B16,Unidades!$D$5:$N$29,7,FALSE())</f>
        <v>871.93</v>
      </c>
      <c r="E16" s="63" t="n">
        <f aca="false">VLOOKUP($B16,Unidades!$D$5:$N$29,8,FALSE())</f>
        <v>1016.64</v>
      </c>
      <c r="F16" s="63" t="n">
        <f aca="false">VLOOKUP($B16,Unidades!$D$5:$N$29,9,FALSE())</f>
        <v>339.12</v>
      </c>
      <c r="G16" s="63" t="n">
        <f aca="false">D16+E16*$E$6+F16*$F$6</f>
        <v>1261.666</v>
      </c>
      <c r="H16" s="64" t="n">
        <f aca="false">IF(G16&lt;750,1.5,IF(G16&lt;2000,2,3))</f>
        <v>2</v>
      </c>
      <c r="I16" s="64" t="n">
        <f aca="false">$I$6*H16</f>
        <v>2.4</v>
      </c>
      <c r="J16" s="64" t="str">
        <f aca="false">VLOOKUP($B16,Unidades!$D$5:$N$29,10,FALSE())</f>
        <v>SIM</v>
      </c>
      <c r="K16" s="64" t="str">
        <f aca="false">VLOOKUP($B16,Unidades!$D$5:$N$29,11,FALSE())</f>
        <v>NÃO</v>
      </c>
      <c r="L16" s="64" t="n">
        <f aca="false">$L$6*H16+(IF(J16="SIM",$J$6,0))</f>
        <v>4.2</v>
      </c>
      <c r="M16" s="64" t="n">
        <f aca="false">$M$6*H16+(IF(J16="SIM",$J$6,0))+(IF(K16="SIM",$K$6,0))</f>
        <v>4.2</v>
      </c>
      <c r="N16" s="64" t="n">
        <f aca="false">H16*12+I16*4+L16*2+M16</f>
        <v>46.2</v>
      </c>
      <c r="O16" s="65" t="n">
        <f aca="false">IF(K16="não", N16*(C$25+D$25),N16*(C$25+D$25)+(M16*E$25))</f>
        <v>2870.406</v>
      </c>
      <c r="P16" s="66"/>
      <c r="Q16" s="22" t="str">
        <f aca="false">B16</f>
        <v>APS LONDRINA-CENTRO</v>
      </c>
      <c r="R16" s="24" t="n">
        <f aca="false">H16*($C$25+$D$25)</f>
        <v>124.26</v>
      </c>
      <c r="S16" s="24" t="n">
        <f aca="false">I16*($C$25+$D$25)</f>
        <v>149.112</v>
      </c>
      <c r="T16" s="24" t="n">
        <f aca="false">L16*($C$25+$D$25)</f>
        <v>260.946</v>
      </c>
      <c r="U16" s="24" t="n">
        <f aca="false">IF(K16="não",M16*($C$25+$D$25),M16*(C$25+D$25+E$25))</f>
        <v>260.946</v>
      </c>
      <c r="V16" s="24" t="n">
        <f aca="false">VLOOKUP(Q16,'Desl. Base Londrina'!$C$5:$S$19,13,FALSE())*($C$25+$D$25+$E$25*(VLOOKUP(Q16,'Desl. Base Londrina'!$C$5:$S$19,17,FALSE())/12))</f>
        <v>13.6572916666667</v>
      </c>
      <c r="W16" s="24" t="n">
        <f aca="false">VLOOKUP(Q16,'Desl. Base Londrina'!$C$5:$Q$19,15,FALSE())*(2+(VLOOKUP(Q16,'Desl. Base Londrina'!$C$5:$S$19,17,FALSE())/12))</f>
        <v>0</v>
      </c>
      <c r="X16" s="24" t="n">
        <f aca="false">VLOOKUP(Q16,'Desl. Base Londrina'!$C$5:$Q$19,14,FALSE())</f>
        <v>0</v>
      </c>
      <c r="Y16" s="24" t="n">
        <f aca="false">VLOOKUP(Q16,'Desl. Base Londrina'!$C$5:$Q$19,13,FALSE())*'Desl. Base Londrina'!$E$24+'Desl. Base Londrina'!$E$25*N16/12</f>
        <v>37.7345833333333</v>
      </c>
      <c r="Z16" s="24" t="n">
        <f aca="false">(H16/$AC$5)*'Equipe Técnica'!$C$13</f>
        <v>387.584226113161</v>
      </c>
      <c r="AA16" s="24" t="n">
        <f aca="false">(I16/$AC$5)*'Equipe Técnica'!$C$13</f>
        <v>465.101071335793</v>
      </c>
      <c r="AB16" s="24" t="n">
        <f aca="false">(L16/$AC$5)*'Equipe Técnica'!$C$13</f>
        <v>813.926874837637</v>
      </c>
      <c r="AC16" s="24" t="n">
        <f aca="false">(M16/$AC$5)*'Equipe Técnica'!$C$13</f>
        <v>813.926874837637</v>
      </c>
      <c r="AD16" s="24" t="n">
        <f aca="false">R16+(($V16+$W16+$X16+$Y16)*12/19)+$Z16</f>
        <v>544.30225242895</v>
      </c>
      <c r="AE16" s="24" t="n">
        <f aca="false">S16+(($V16+$W16+$X16+$Y16)*12/19)+$AA16</f>
        <v>646.671097651582</v>
      </c>
      <c r="AF16" s="24" t="n">
        <f aca="false">T16+(($V16+$W16+$X16+$Y16)*12/19)+$AB16</f>
        <v>1107.33090115343</v>
      </c>
      <c r="AG16" s="24" t="n">
        <f aca="false">U16+(($V16+$W16+$X16+$Y16)*12/19)+$AC16</f>
        <v>1107.33090115343</v>
      </c>
      <c r="AI16" s="22" t="str">
        <f aca="false">B16</f>
        <v>APS LONDRINA-CENTRO</v>
      </c>
      <c r="AJ16" s="67" t="n">
        <f aca="false">VLOOKUP(AI16,Unidades!D$5:H$29,5,)</f>
        <v>0.2624</v>
      </c>
      <c r="AK16" s="46" t="n">
        <f aca="false">AD16*(1+$AJ16)</f>
        <v>687.127163466306</v>
      </c>
      <c r="AL16" s="46" t="n">
        <f aca="false">AE16*(1+$AJ16)</f>
        <v>816.357593675357</v>
      </c>
      <c r="AM16" s="46" t="n">
        <f aca="false">AF16*(1+$AJ16)</f>
        <v>1397.89452961609</v>
      </c>
      <c r="AN16" s="46" t="n">
        <f aca="false">AG16*(1+$AJ16)</f>
        <v>1397.89452961609</v>
      </c>
      <c r="AO16" s="46" t="n">
        <f aca="false">((AK16*12)+(AL16*4)+(AM16*2)+AN16)/12</f>
        <v>1308.71999376211</v>
      </c>
      <c r="AP16" s="46" t="n">
        <f aca="false">AO16*3</f>
        <v>3926.15998128634</v>
      </c>
      <c r="AQ16" s="46" t="n">
        <f aca="false">AO16+AP16</f>
        <v>5234.87997504845</v>
      </c>
      <c r="AR16" s="68"/>
      <c r="AS16" s="68"/>
      <c r="AT16" s="68"/>
      <c r="AU16" s="68"/>
      <c r="AV16" s="68"/>
      <c r="AW16" s="68"/>
    </row>
    <row r="17" s="2" customFormat="true" ht="15" hidden="false" customHeight="true" outlineLevel="0" collapsed="false">
      <c r="B17" s="62" t="s">
        <v>97</v>
      </c>
      <c r="C17" s="63" t="n">
        <f aca="false">VLOOKUP($B17,Unidades!$D$5:$N$29,6,FALSE())</f>
        <v>744.51</v>
      </c>
      <c r="D17" s="63" t="n">
        <f aca="false">VLOOKUP($B17,Unidades!$D$5:$N$29,7,FALSE())</f>
        <v>744.51</v>
      </c>
      <c r="E17" s="63" t="n">
        <f aca="false">VLOOKUP($B17,Unidades!$D$5:$N$29,8,FALSE())</f>
        <v>0</v>
      </c>
      <c r="F17" s="63" t="n">
        <f aca="false">VLOOKUP($B17,Unidades!$D$5:$N$29,9,FALSE())</f>
        <v>0</v>
      </c>
      <c r="G17" s="63" t="n">
        <f aca="false">D17+E17*$E$6+F17*$F$6</f>
        <v>744.51</v>
      </c>
      <c r="H17" s="64" t="n">
        <f aca="false">IF(G17&lt;750,1.5,IF(G17&lt;2000,2,3))</f>
        <v>1.5</v>
      </c>
      <c r="I17" s="64" t="n">
        <f aca="false">$I$6*H17</f>
        <v>1.8</v>
      </c>
      <c r="J17" s="64" t="str">
        <f aca="false">VLOOKUP($B17,Unidades!$D$5:$N$29,10,FALSE())</f>
        <v>SIM</v>
      </c>
      <c r="K17" s="64" t="str">
        <f aca="false">VLOOKUP($B17,Unidades!$D$5:$N$29,11,FALSE())</f>
        <v>SIM</v>
      </c>
      <c r="L17" s="64" t="n">
        <f aca="false">$L$6*H17+(IF(J17="SIM",$J$6,0))</f>
        <v>3.65</v>
      </c>
      <c r="M17" s="64" t="n">
        <f aca="false">$M$6*H17+(IF(J17="SIM",$J$6,0))+(IF(K17="SIM",$K$6,0))</f>
        <v>7.65</v>
      </c>
      <c r="N17" s="64" t="n">
        <f aca="false">H17*12+I17*4+L17*2+M17</f>
        <v>40.15</v>
      </c>
      <c r="O17" s="65" t="n">
        <f aca="false">IF(K17="não", N17*(C$25+D$25),N17*(C$25+D$25)+(M17*E$25))</f>
        <v>2808.9345</v>
      </c>
      <c r="P17" s="66"/>
      <c r="Q17" s="22" t="str">
        <f aca="false">B17</f>
        <v>APS LONDRINA-SHANGRILÁ</v>
      </c>
      <c r="R17" s="24" t="n">
        <f aca="false">H17*($C$25+$D$25)</f>
        <v>93.195</v>
      </c>
      <c r="S17" s="24" t="n">
        <f aca="false">I17*($C$25+$D$25)</f>
        <v>111.834</v>
      </c>
      <c r="T17" s="24" t="n">
        <f aca="false">L17*($C$25+$D$25)</f>
        <v>226.7745</v>
      </c>
      <c r="U17" s="24" t="n">
        <f aca="false">IF(K17="não",M17*($C$25+$D$25),M17*(C$25+D$25+E$25))</f>
        <v>789.7095</v>
      </c>
      <c r="V17" s="24" t="n">
        <f aca="false">VLOOKUP(Q17,'Desl. Base Londrina'!$C$5:$S$19,13,FALSE())*($C$25+$D$25+$E$25*(VLOOKUP(Q17,'Desl. Base Londrina'!$C$5:$S$19,17,FALSE())/12))</f>
        <v>13.6572916666667</v>
      </c>
      <c r="W17" s="24" t="n">
        <f aca="false">VLOOKUP(Q17,'Desl. Base Londrina'!$C$5:$Q$19,15,FALSE())*(2+(VLOOKUP(Q17,'Desl. Base Londrina'!$C$5:$S$19,17,FALSE())/12))</f>
        <v>0</v>
      </c>
      <c r="X17" s="24" t="n">
        <f aca="false">VLOOKUP(Q17,'Desl. Base Londrina'!$C$5:$Q$19,14,FALSE())</f>
        <v>0</v>
      </c>
      <c r="Y17" s="24" t="n">
        <f aca="false">VLOOKUP(Q17,'Desl. Base Londrina'!$C$5:$Q$19,13,FALSE())*'Desl. Base Londrina'!$E$24+'Desl. Base Londrina'!$E$25*N17/12</f>
        <v>34.230625</v>
      </c>
      <c r="Z17" s="24" t="n">
        <f aca="false">(H17/$AC$5)*'Equipe Técnica'!$C$13</f>
        <v>290.68816958487</v>
      </c>
      <c r="AA17" s="24" t="n">
        <f aca="false">(I17/$AC$5)*'Equipe Técnica'!$C$13</f>
        <v>348.825803501844</v>
      </c>
      <c r="AB17" s="24" t="n">
        <f aca="false">(L17/$AC$5)*'Equipe Técnica'!$C$13</f>
        <v>707.341212656518</v>
      </c>
      <c r="AC17" s="24" t="n">
        <f aca="false">(M17/$AC$5)*'Equipe Técnica'!$C$13</f>
        <v>1482.50966488284</v>
      </c>
      <c r="AD17" s="24" t="n">
        <f aca="false">R17+(($V17+$W17+$X17+$Y17)*12/19)+$Z17</f>
        <v>414.12816958487</v>
      </c>
      <c r="AE17" s="24" t="n">
        <f aca="false">S17+(($V17+$W17+$X17+$Y17)*12/19)+$AA17</f>
        <v>490.904803501844</v>
      </c>
      <c r="AF17" s="24" t="n">
        <f aca="false">T17+(($V17+$W17+$X17+$Y17)*12/19)+$AB17</f>
        <v>964.360712656518</v>
      </c>
      <c r="AG17" s="24" t="n">
        <f aca="false">U17+(($V17+$W17+$X17+$Y17)*12/19)+$AC17</f>
        <v>2302.46416488284</v>
      </c>
      <c r="AI17" s="22" t="str">
        <f aca="false">B17</f>
        <v>APS LONDRINA-SHANGRILÁ</v>
      </c>
      <c r="AJ17" s="67" t="n">
        <f aca="false">VLOOKUP(AI17,Unidades!D$5:H$29,5,)</f>
        <v>0.2624</v>
      </c>
      <c r="AK17" s="46" t="n">
        <f aca="false">AD17*(1+$AJ17)</f>
        <v>522.79540128394</v>
      </c>
      <c r="AL17" s="46" t="n">
        <f aca="false">AE17*(1+$AJ17)</f>
        <v>619.718223940728</v>
      </c>
      <c r="AM17" s="46" t="n">
        <f aca="false">AF17*(1+$AJ17)</f>
        <v>1217.40896365759</v>
      </c>
      <c r="AN17" s="46" t="n">
        <f aca="false">AG17*(1+$AJ17)</f>
        <v>2906.6307617481</v>
      </c>
      <c r="AO17" s="46" t="n">
        <f aca="false">((AK17*12)+(AL17*4)+(AM17*2)+AN17)/12</f>
        <v>1174.48886668612</v>
      </c>
      <c r="AP17" s="46" t="n">
        <f aca="false">AO17*3</f>
        <v>3523.46660005837</v>
      </c>
      <c r="AQ17" s="46" t="n">
        <f aca="false">AO17+AP17</f>
        <v>4697.95546674449</v>
      </c>
      <c r="AR17" s="68"/>
      <c r="AS17" s="68"/>
      <c r="AT17" s="68"/>
      <c r="AU17" s="68"/>
      <c r="AV17" s="68"/>
      <c r="AW17" s="68"/>
    </row>
    <row r="18" s="2" customFormat="true" ht="15" hidden="false" customHeight="true" outlineLevel="0" collapsed="false">
      <c r="B18" s="62" t="s">
        <v>98</v>
      </c>
      <c r="C18" s="63" t="n">
        <f aca="false">VLOOKUP($B18,Unidades!$D$5:$N$29,6,FALSE())</f>
        <v>927.97</v>
      </c>
      <c r="D18" s="63" t="n">
        <f aca="false">VLOOKUP($B18,Unidades!$D$5:$N$29,7,FALSE())</f>
        <v>696.73</v>
      </c>
      <c r="E18" s="63" t="n">
        <f aca="false">VLOOKUP($B18,Unidades!$D$5:$N$29,8,FALSE())</f>
        <v>231.24</v>
      </c>
      <c r="F18" s="63" t="n">
        <f aca="false">VLOOKUP($B18,Unidades!$D$5:$N$29,9,FALSE())</f>
        <v>0</v>
      </c>
      <c r="G18" s="63" t="n">
        <f aca="false">D18+E18*$E$6+F18*$F$6</f>
        <v>777.664</v>
      </c>
      <c r="H18" s="64" t="n">
        <f aca="false">IF(G18&lt;750,1.5,IF(G18&lt;2000,2,3))</f>
        <v>2</v>
      </c>
      <c r="I18" s="64" t="n">
        <f aca="false">$I$6*H18</f>
        <v>2.4</v>
      </c>
      <c r="J18" s="64" t="str">
        <f aca="false">VLOOKUP($B18,Unidades!$D$5:$N$29,10,FALSE())</f>
        <v>NÃO</v>
      </c>
      <c r="K18" s="64" t="str">
        <f aca="false">VLOOKUP($B18,Unidades!$D$5:$N$29,11,FALSE())</f>
        <v>SIM</v>
      </c>
      <c r="L18" s="64" t="n">
        <f aca="false">$L$6*H18+(IF(J18="SIM",$J$6,0))</f>
        <v>2.2</v>
      </c>
      <c r="M18" s="64" t="n">
        <f aca="false">$M$6*H18+(IF(J18="SIM",$J$6,0))+(IF(K18="SIM",$K$6,0))</f>
        <v>6.2</v>
      </c>
      <c r="N18" s="64" t="n">
        <f aca="false">H18*12+I18*4+L18*2+M18</f>
        <v>44.2</v>
      </c>
      <c r="O18" s="65" t="n">
        <f aca="false">IF(K18="não", N18*(C$25+D$25),N18*(C$25+D$25)+(M18*E$25))</f>
        <v>3000.966</v>
      </c>
      <c r="P18" s="66"/>
      <c r="Q18" s="22" t="str">
        <f aca="false">B18</f>
        <v>APS ROLÂNDIA</v>
      </c>
      <c r="R18" s="24" t="n">
        <f aca="false">H18*($C$25+$D$25)</f>
        <v>124.26</v>
      </c>
      <c r="S18" s="24" t="n">
        <f aca="false">I18*($C$25+$D$25)</f>
        <v>149.112</v>
      </c>
      <c r="T18" s="24" t="n">
        <f aca="false">L18*($C$25+$D$25)</f>
        <v>136.686</v>
      </c>
      <c r="U18" s="24" t="n">
        <f aca="false">IF(K18="não",M18*($C$25+$D$25),M18*(C$25+D$25+E$25))</f>
        <v>640.026</v>
      </c>
      <c r="V18" s="24" t="n">
        <f aca="false">VLOOKUP(Q18,'Desl. Base Londrina'!$C$5:$S$19,13,FALSE())*($C$25+$D$25+$E$25*(VLOOKUP(Q18,'Desl. Base Londrina'!$C$5:$S$19,17,FALSE())/12))</f>
        <v>40.4255833333333</v>
      </c>
      <c r="W18" s="24" t="n">
        <f aca="false">VLOOKUP(Q18,'Desl. Base Londrina'!$C$5:$Q$19,15,FALSE())*(2+(VLOOKUP(Q18,'Desl. Base Londrina'!$C$5:$S$19,17,FALSE())/12))</f>
        <v>0</v>
      </c>
      <c r="X18" s="24" t="n">
        <f aca="false">VLOOKUP(Q18,'Desl. Base Londrina'!$C$5:$Q$19,14,FALSE())</f>
        <v>0</v>
      </c>
      <c r="Y18" s="24" t="n">
        <f aca="false">VLOOKUP(Q18,'Desl. Base Londrina'!$C$5:$Q$19,13,FALSE())*'Desl. Base Londrina'!$E$24+'Desl. Base Londrina'!$E$25*N18/12</f>
        <v>58.0913333333333</v>
      </c>
      <c r="Z18" s="24" t="n">
        <f aca="false">(H18/$AC$5)*'Equipe Técnica'!$C$13</f>
        <v>387.584226113161</v>
      </c>
      <c r="AA18" s="24" t="n">
        <f aca="false">(I18/$AC$5)*'Equipe Técnica'!$C$13</f>
        <v>465.101071335793</v>
      </c>
      <c r="AB18" s="24" t="n">
        <f aca="false">(L18/$AC$5)*'Equipe Técnica'!$C$13</f>
        <v>426.342648724477</v>
      </c>
      <c r="AC18" s="24" t="n">
        <f aca="false">(M18/$AC$5)*'Equipe Técnica'!$C$13</f>
        <v>1201.5111009508</v>
      </c>
      <c r="AD18" s="24" t="n">
        <f aca="false">R18+(($V18+$W18+$X18+$Y18)*12/19)+$Z18</f>
        <v>574.065436639476</v>
      </c>
      <c r="AE18" s="24" t="n">
        <f aca="false">S18+(($V18+$W18+$X18+$Y18)*12/19)+$AA18</f>
        <v>676.434281862109</v>
      </c>
      <c r="AF18" s="24" t="n">
        <f aca="false">T18+(($V18+$W18+$X18+$Y18)*12/19)+$AB18</f>
        <v>625.249859250792</v>
      </c>
      <c r="AG18" s="24" t="n">
        <f aca="false">U18+(($V18+$W18+$X18+$Y18)*12/19)+$AC18</f>
        <v>1903.75831147711</v>
      </c>
      <c r="AI18" s="22" t="str">
        <f aca="false">B18</f>
        <v>APS ROLÂNDIA</v>
      </c>
      <c r="AJ18" s="67" t="n">
        <f aca="false">VLOOKUP(AI18,Unidades!D$5:H$29,5,)</f>
        <v>0.2624</v>
      </c>
      <c r="AK18" s="46" t="n">
        <f aca="false">AD18*(1+$AJ18)</f>
        <v>724.700207213675</v>
      </c>
      <c r="AL18" s="46" t="n">
        <f aca="false">AE18*(1+$AJ18)</f>
        <v>853.930637422726</v>
      </c>
      <c r="AM18" s="46" t="n">
        <f aca="false">AF18*(1+$AJ18)</f>
        <v>789.3154223182</v>
      </c>
      <c r="AN18" s="46" t="n">
        <f aca="false">AG18*(1+$AJ18)</f>
        <v>2403.30449240871</v>
      </c>
      <c r="AO18" s="46" t="n">
        <f aca="false">((AK18*12)+(AL18*4)+(AM18*2)+AN18)/12</f>
        <v>1341.17169777501</v>
      </c>
      <c r="AP18" s="46" t="n">
        <f aca="false">AO18*3</f>
        <v>4023.51509332503</v>
      </c>
      <c r="AQ18" s="46" t="n">
        <f aca="false">AO18+AP18</f>
        <v>5364.68679110004</v>
      </c>
      <c r="AR18" s="68"/>
      <c r="AS18" s="68"/>
      <c r="AT18" s="68"/>
      <c r="AU18" s="68"/>
      <c r="AV18" s="68"/>
      <c r="AW18" s="68"/>
    </row>
    <row r="19" s="2" customFormat="true" ht="15" hidden="false" customHeight="true" outlineLevel="0" collapsed="false">
      <c r="B19" s="62" t="s">
        <v>99</v>
      </c>
      <c r="C19" s="63" t="n">
        <f aca="false">VLOOKUP($B19,Unidades!$D$5:$N$29,6,FALSE())</f>
        <v>334.4</v>
      </c>
      <c r="D19" s="63" t="n">
        <f aca="false">VLOOKUP($B19,Unidades!$D$5:$N$29,7,FALSE())</f>
        <v>296</v>
      </c>
      <c r="E19" s="63" t="n">
        <f aca="false">VLOOKUP($B19,Unidades!$D$5:$N$29,8,FALSE())</f>
        <v>38.4</v>
      </c>
      <c r="F19" s="63" t="n">
        <f aca="false">VLOOKUP($B19,Unidades!$D$5:$N$29,9,FALSE())</f>
        <v>0</v>
      </c>
      <c r="G19" s="63" t="n">
        <f aca="false">D19+E19*$E$6+F19*$F$6</f>
        <v>309.44</v>
      </c>
      <c r="H19" s="64" t="n">
        <f aca="false">IF(G19&lt;750,1.5,IF(G19&lt;2000,2,3))</f>
        <v>1.5</v>
      </c>
      <c r="I19" s="64" t="n">
        <f aca="false">$I$6*H19</f>
        <v>1.8</v>
      </c>
      <c r="J19" s="64" t="str">
        <f aca="false">VLOOKUP($B19,Unidades!$D$5:$N$29,10,FALSE())</f>
        <v>NÃO</v>
      </c>
      <c r="K19" s="64" t="str">
        <f aca="false">VLOOKUP($B19,Unidades!$D$5:$N$29,11,FALSE())</f>
        <v>NÃO</v>
      </c>
      <c r="L19" s="64" t="n">
        <f aca="false">$L$6*H19+(IF(J19="SIM",$J$6,0))</f>
        <v>1.65</v>
      </c>
      <c r="M19" s="64" t="n">
        <f aca="false">$M$6*H19+(IF(J19="SIM",$J$6,0))+(IF(K19="SIM",$K$6,0))</f>
        <v>1.65</v>
      </c>
      <c r="N19" s="64" t="n">
        <f aca="false">H19*12+I19*4+L19*2+M19</f>
        <v>30.15</v>
      </c>
      <c r="O19" s="65" t="n">
        <f aca="false">IF(K19="não", N19*(C$25+D$25),N19*(C$25+D$25)+(M19*E$25))</f>
        <v>1873.2195</v>
      </c>
      <c r="P19" s="66"/>
      <c r="Q19" s="22" t="str">
        <f aca="false">B19</f>
        <v>APS SANTO ANTÔNIO DA PLATINA</v>
      </c>
      <c r="R19" s="24" t="n">
        <f aca="false">H19*($C$25+$D$25)</f>
        <v>93.195</v>
      </c>
      <c r="S19" s="24" t="n">
        <f aca="false">I19*($C$25+$D$25)</f>
        <v>111.834</v>
      </c>
      <c r="T19" s="24" t="n">
        <f aca="false">L19*($C$25+$D$25)</f>
        <v>102.5145</v>
      </c>
      <c r="U19" s="24" t="n">
        <f aca="false">IF(K19="não",M19*($C$25+$D$25),M19*(C$25+D$25+E$25))</f>
        <v>102.5145</v>
      </c>
      <c r="V19" s="24" t="n">
        <f aca="false">VLOOKUP(Q19,'Desl. Base Londrina'!$C$5:$S$19,13,FALSE())*($C$25+$D$25+$E$25*(VLOOKUP(Q19,'Desl. Base Londrina'!$C$5:$S$19,17,FALSE())/12))</f>
        <v>162.248625</v>
      </c>
      <c r="W19" s="24" t="n">
        <f aca="false">VLOOKUP(Q19,'Desl. Base Londrina'!$C$5:$Q$19,15,FALSE())*(2+(VLOOKUP(Q19,'Desl. Base Londrina'!$C$5:$S$19,17,FALSE())/12))</f>
        <v>0</v>
      </c>
      <c r="X19" s="24" t="n">
        <f aca="false">VLOOKUP(Q19,'Desl. Base Londrina'!$C$5:$Q$19,14,FALSE())</f>
        <v>0</v>
      </c>
      <c r="Y19" s="24" t="n">
        <f aca="false">VLOOKUP(Q19,'Desl. Base Londrina'!$C$5:$Q$19,13,FALSE())*'Desl. Base Londrina'!$E$24+'Desl. Base Londrina'!$E$25*N19/12</f>
        <v>147.869625</v>
      </c>
      <c r="Z19" s="24" t="n">
        <f aca="false">(H19/$AC$5)*'Equipe Técnica'!$C$13</f>
        <v>290.68816958487</v>
      </c>
      <c r="AA19" s="24" t="n">
        <f aca="false">(I19/$AC$5)*'Equipe Técnica'!$C$13</f>
        <v>348.825803501844</v>
      </c>
      <c r="AB19" s="24" t="n">
        <f aca="false">(L19/$AC$5)*'Equipe Técnica'!$C$13</f>
        <v>319.756986543357</v>
      </c>
      <c r="AC19" s="24" t="n">
        <f aca="false">(M19/$AC$5)*'Equipe Técnica'!$C$13</f>
        <v>319.756986543357</v>
      </c>
      <c r="AD19" s="24" t="n">
        <f aca="false">R19+(($V19+$W19+$X19+$Y19)*12/19)+$Z19</f>
        <v>579.747327479607</v>
      </c>
      <c r="AE19" s="24" t="n">
        <f aca="false">S19+(($V19+$W19+$X19+$Y19)*12/19)+$AA19</f>
        <v>656.523961396581</v>
      </c>
      <c r="AF19" s="24" t="n">
        <f aca="false">T19+(($V19+$W19+$X19+$Y19)*12/19)+$AB19</f>
        <v>618.135644438094</v>
      </c>
      <c r="AG19" s="24" t="n">
        <f aca="false">U19+(($V19+$W19+$X19+$Y19)*12/19)+$AC19</f>
        <v>618.135644438094</v>
      </c>
      <c r="AI19" s="22" t="str">
        <f aca="false">B19</f>
        <v>APS SANTO ANTÔNIO DA PLATINA</v>
      </c>
      <c r="AJ19" s="67" t="n">
        <f aca="false">VLOOKUP(AI19,Unidades!D$5:H$29,5,)</f>
        <v>0.2354</v>
      </c>
      <c r="AK19" s="46" t="n">
        <f aca="false">AD19*(1+$AJ19)</f>
        <v>716.219848368307</v>
      </c>
      <c r="AL19" s="46" t="n">
        <f aca="false">AE19*(1+$AJ19)</f>
        <v>811.069701909337</v>
      </c>
      <c r="AM19" s="46" t="n">
        <f aca="false">AF19*(1+$AJ19)</f>
        <v>763.644775138822</v>
      </c>
      <c r="AN19" s="46" t="n">
        <f aca="false">AG19*(1+$AJ19)</f>
        <v>763.644775138822</v>
      </c>
      <c r="AO19" s="46" t="n">
        <f aca="false">((AK19*12)+(AL19*4)+(AM19*2)+AN19)/12</f>
        <v>1177.48760945612</v>
      </c>
      <c r="AP19" s="46" t="n">
        <f aca="false">AO19*3</f>
        <v>3532.46282836837</v>
      </c>
      <c r="AQ19" s="46" t="n">
        <f aca="false">AO19+AP19</f>
        <v>4709.9504378245</v>
      </c>
      <c r="AR19" s="68"/>
      <c r="AS19" s="68"/>
      <c r="AT19" s="68"/>
      <c r="AU19" s="68"/>
      <c r="AV19" s="68"/>
      <c r="AW19" s="68"/>
    </row>
    <row r="20" s="2" customFormat="true" ht="15" hidden="false" customHeight="true" outlineLevel="0" collapsed="false">
      <c r="B20" s="72" t="s">
        <v>100</v>
      </c>
      <c r="C20" s="63" t="n">
        <f aca="false">VLOOKUP($B20,Unidades!$D$5:$N$29,6,FALSE())</f>
        <v>1761.41</v>
      </c>
      <c r="D20" s="63" t="n">
        <f aca="false">VLOOKUP($B20,Unidades!$D$5:$N$29,7,FALSE())</f>
        <v>1378.65</v>
      </c>
      <c r="E20" s="63" t="n">
        <f aca="false">VLOOKUP($B20,Unidades!$D$5:$N$29,8,FALSE())</f>
        <v>382.76</v>
      </c>
      <c r="F20" s="63" t="n">
        <f aca="false">VLOOKUP($B20,Unidades!$D$5:$N$29,9,FALSE())</f>
        <v>0</v>
      </c>
      <c r="G20" s="63" t="n">
        <f aca="false">D20+E20*$E$6+F20*$F$6</f>
        <v>1512.616</v>
      </c>
      <c r="H20" s="64" t="n">
        <f aca="false">IF(G20&lt;750,1.5,IF(G20&lt;2000,2,3))</f>
        <v>2</v>
      </c>
      <c r="I20" s="64" t="n">
        <f aca="false">$I$6*H20</f>
        <v>2.4</v>
      </c>
      <c r="J20" s="64" t="str">
        <f aca="false">VLOOKUP($B20,Unidades!$D$5:$N$29,10,FALSE())</f>
        <v>SIM</v>
      </c>
      <c r="K20" s="64" t="str">
        <f aca="false">VLOOKUP($B20,Unidades!$D$5:$N$29,11,FALSE())</f>
        <v>SIM</v>
      </c>
      <c r="L20" s="64" t="n">
        <f aca="false">$L$6*H20+(IF(J20="SIM",$J$6,0))</f>
        <v>4.2</v>
      </c>
      <c r="M20" s="64" t="n">
        <f aca="false">$M$6*H20+(IF(J20="SIM",$J$6,0))+(IF(K20="SIM",$K$6,0))</f>
        <v>8.2</v>
      </c>
      <c r="N20" s="64" t="n">
        <f aca="false">H20*12+I20*4+L20*2+M20</f>
        <v>50.2</v>
      </c>
      <c r="O20" s="65" t="n">
        <f aca="false">IF(K20="não", N20*(C$25+D$25),N20*(C$25+D$25)+(M20*E$25))</f>
        <v>3455.946</v>
      </c>
      <c r="P20" s="66"/>
      <c r="Q20" s="22" t="str">
        <f aca="false">B20</f>
        <v>GEX LONDRINA</v>
      </c>
      <c r="R20" s="24" t="n">
        <f aca="false">H20*($C$25+$D$25)</f>
        <v>124.26</v>
      </c>
      <c r="S20" s="24" t="n">
        <f aca="false">I20*($C$25+$D$25)</f>
        <v>149.112</v>
      </c>
      <c r="T20" s="24" t="n">
        <f aca="false">L20*($C$25+$D$25)</f>
        <v>260.946</v>
      </c>
      <c r="U20" s="24" t="n">
        <f aca="false">IF(K20="não",M20*($C$25+$D$25),M20*(C$25+D$25+E$25))</f>
        <v>846.486</v>
      </c>
      <c r="V20" s="24" t="n">
        <f aca="false">VLOOKUP(Q20,'Desl. Base Londrina'!$C$5:$S$19,13,FALSE())*($C$25+$D$25+$E$25*(VLOOKUP(Q20,'Desl. Base Londrina'!$C$5:$S$19,17,FALSE())/12))</f>
        <v>0</v>
      </c>
      <c r="W20" s="24" t="n">
        <f aca="false">VLOOKUP(Q20,'Desl. Base Londrina'!$C$5:$Q$19,15,FALSE())*(2+(VLOOKUP(Q20,'Desl. Base Londrina'!$C$5:$S$19,17,FALSE())/12))</f>
        <v>0</v>
      </c>
      <c r="X20" s="24" t="n">
        <f aca="false">VLOOKUP(Q20,'Desl. Base Londrina'!$C$5:$Q$19,14,FALSE())</f>
        <v>0</v>
      </c>
      <c r="Y20" s="24" t="n">
        <f aca="false">VLOOKUP(Q20,'Desl. Base Londrina'!$C$5:$Q$19,13,FALSE())*'Desl. Base Londrina'!$E$24+'Desl. Base Londrina'!$E$25*N20/12</f>
        <v>29.0741666666667</v>
      </c>
      <c r="Z20" s="24" t="n">
        <f aca="false">(H20/$AC$5)*'Equipe Técnica'!$C$13</f>
        <v>387.584226113161</v>
      </c>
      <c r="AA20" s="24" t="n">
        <f aca="false">(I20/$AC$5)*'Equipe Técnica'!$C$13</f>
        <v>465.101071335793</v>
      </c>
      <c r="AB20" s="24" t="n">
        <f aca="false">(L20/$AC$5)*'Equipe Técnica'!$C$13</f>
        <v>813.926874837637</v>
      </c>
      <c r="AC20" s="24" t="n">
        <f aca="false">(M20/$AC$5)*'Equipe Técnica'!$C$13</f>
        <v>1589.09532706396</v>
      </c>
      <c r="AD20" s="24" t="n">
        <f aca="false">R20+(($V20+$W20+$X20+$Y20)*12/19)+$Z20</f>
        <v>530.206857692108</v>
      </c>
      <c r="AE20" s="24" t="n">
        <f aca="false">S20+(($V20+$W20+$X20+$Y20)*12/19)+$AA20</f>
        <v>632.57570291474</v>
      </c>
      <c r="AF20" s="24" t="n">
        <f aca="false">T20+(($V20+$W20+$X20+$Y20)*12/19)+$AB20</f>
        <v>1093.23550641658</v>
      </c>
      <c r="AG20" s="24" t="n">
        <f aca="false">U20+(($V20+$W20+$X20+$Y20)*12/19)+$AC20</f>
        <v>2453.94395864291</v>
      </c>
      <c r="AI20" s="22" t="str">
        <f aca="false">B20</f>
        <v>GEX LONDRINA</v>
      </c>
      <c r="AJ20" s="67" t="n">
        <f aca="false">VLOOKUP(AI20,Unidades!D$5:H$29,5,)</f>
        <v>0.2624</v>
      </c>
      <c r="AK20" s="46" t="n">
        <f aca="false">AD20*(1+$AJ20)</f>
        <v>669.333137150517</v>
      </c>
      <c r="AL20" s="46" t="n">
        <f aca="false">AE20*(1+$AJ20)</f>
        <v>798.563567359568</v>
      </c>
      <c r="AM20" s="46" t="n">
        <f aca="false">AF20*(1+$AJ20)</f>
        <v>1380.1005033003</v>
      </c>
      <c r="AN20" s="46" t="n">
        <f aca="false">AG20*(1+$AJ20)</f>
        <v>3097.8588533908</v>
      </c>
      <c r="AO20" s="46" t="n">
        <f aca="false">((AK20*12)+(AL20*4)+(AM20*2)+AN20)/12</f>
        <v>1423.69264793632</v>
      </c>
      <c r="AP20" s="46" t="n">
        <f aca="false">AO20*3</f>
        <v>4271.07794380897</v>
      </c>
      <c r="AQ20" s="46" t="n">
        <f aca="false">AO20+AP20</f>
        <v>5694.77059174529</v>
      </c>
      <c r="AR20" s="68"/>
      <c r="AS20" s="68"/>
      <c r="AT20" s="68"/>
      <c r="AU20" s="68"/>
      <c r="AV20" s="68"/>
      <c r="AW20" s="68"/>
    </row>
    <row r="21" s="2" customFormat="true" ht="15" hidden="false" customHeight="true" outlineLevel="0" collapsed="false">
      <c r="B21" s="72" t="s">
        <v>101</v>
      </c>
      <c r="C21" s="63" t="n">
        <f aca="false">VLOOKUP($B21,Unidades!$D$5:$N$29,6,FALSE())</f>
        <v>525</v>
      </c>
      <c r="D21" s="63" t="n">
        <f aca="false">VLOOKUP($B21,Unidades!$D$5:$N$29,7,FALSE())</f>
        <v>525</v>
      </c>
      <c r="E21" s="63" t="n">
        <f aca="false">VLOOKUP($B21,Unidades!$D$5:$N$29,8,FALSE())</f>
        <v>0</v>
      </c>
      <c r="F21" s="63" t="n">
        <f aca="false">VLOOKUP($B21,Unidades!$D$5:$N$29,9,FALSE())</f>
        <v>0</v>
      </c>
      <c r="G21" s="63" t="n">
        <f aca="false">D21+E21*$E$6+F21*$F$6</f>
        <v>525</v>
      </c>
      <c r="H21" s="64" t="n">
        <f aca="false">IF(G21&lt;750,1.5,IF(G21&lt;2000,2,3))</f>
        <v>1.5</v>
      </c>
      <c r="I21" s="64" t="n">
        <f aca="false">$I$6*H21</f>
        <v>1.8</v>
      </c>
      <c r="J21" s="64" t="str">
        <f aca="false">VLOOKUP($B21,Unidades!$D$5:$N$29,10,FALSE())</f>
        <v>NÃO</v>
      </c>
      <c r="K21" s="64" t="str">
        <f aca="false">VLOOKUP($B21,Unidades!$D$5:$N$29,11,FALSE())</f>
        <v>NÃO</v>
      </c>
      <c r="L21" s="64" t="n">
        <f aca="false">$L$6*H21+(IF(J21="SIM",$J$6,0))</f>
        <v>1.65</v>
      </c>
      <c r="M21" s="64" t="n">
        <f aca="false">$M$6*H21+(IF(J21="SIM",$J$6,0))+(IF(K21="SIM",$K$6,0))</f>
        <v>1.65</v>
      </c>
      <c r="N21" s="64" t="n">
        <f aca="false">H21*12+I21*4+L21*2+M21</f>
        <v>30.15</v>
      </c>
      <c r="O21" s="65" t="n">
        <f aca="false">IF(K21="não", N21*(C$25+D$25),N21*(C$25+D$25)+(M21*E$25))</f>
        <v>1873.2195</v>
      </c>
      <c r="P21" s="66"/>
      <c r="Q21" s="22" t="str">
        <f aca="false">B21</f>
        <v>APS IBAITI</v>
      </c>
      <c r="R21" s="24" t="n">
        <f aca="false">H21*($C$25+$D$25)</f>
        <v>93.195</v>
      </c>
      <c r="S21" s="24" t="n">
        <f aca="false">I21*($C$25+$D$25)</f>
        <v>111.834</v>
      </c>
      <c r="T21" s="24" t="n">
        <f aca="false">L21*($C$25+$D$25)</f>
        <v>102.5145</v>
      </c>
      <c r="U21" s="24" t="n">
        <f aca="false">IF(K21="não",M21*($C$25+$D$25),M21*(C$25+D$25+E$25))</f>
        <v>102.5145</v>
      </c>
      <c r="V21" s="24" t="n">
        <f aca="false">VLOOKUP(Q21,'Desl. Base Londrina'!$C$5:$S$19,13,FALSE())*($C$25+$D$25+$E$25*(VLOOKUP(Q21,'Desl. Base Londrina'!$C$5:$S$19,17,FALSE())/12))</f>
        <v>287.869</v>
      </c>
      <c r="W21" s="24" t="n">
        <f aca="false">VLOOKUP(Q21,'Desl. Base Londrina'!$C$5:$Q$19,15,FALSE())*(2+(VLOOKUP(Q21,'Desl. Base Londrina'!$C$5:$S$19,17,FALSE())/12))</f>
        <v>0</v>
      </c>
      <c r="X21" s="24" t="n">
        <f aca="false">VLOOKUP(Q21,'Desl. Base Londrina'!$C$5:$Q$19,14,FALSE())</f>
        <v>0</v>
      </c>
      <c r="Y21" s="24" t="n">
        <f aca="false">VLOOKUP(Q21,'Desl. Base Londrina'!$C$5:$Q$19,13,FALSE())*'Desl. Base Londrina'!$E$24+'Desl. Base Londrina'!$E$25*N21/12</f>
        <v>261.592208333333</v>
      </c>
      <c r="Z21" s="24" t="n">
        <f aca="false">(H21/$AC$5)*'Equipe Técnica'!$C$13</f>
        <v>290.68816958487</v>
      </c>
      <c r="AA21" s="24" t="n">
        <f aca="false">(I21/$AC$5)*'Equipe Técnica'!$C$13</f>
        <v>348.825803501844</v>
      </c>
      <c r="AB21" s="24" t="n">
        <f aca="false">(L21/$AC$5)*'Equipe Técnica'!$C$13</f>
        <v>319.756986543357</v>
      </c>
      <c r="AC21" s="24" t="n">
        <f aca="false">(M21/$AC$5)*'Equipe Técnica'!$C$13</f>
        <v>319.756986543357</v>
      </c>
      <c r="AD21" s="24" t="n">
        <f aca="false">R21+(($V21+$W21+$X21+$Y21)*12/19)+$Z21</f>
        <v>730.911301163818</v>
      </c>
      <c r="AE21" s="24" t="n">
        <f aca="false">S21+(($V21+$W21+$X21+$Y21)*12/19)+$AA21</f>
        <v>807.687935080792</v>
      </c>
      <c r="AF21" s="24" t="n">
        <f aca="false">T21+(($V21+$W21+$X21+$Y21)*12/19)+$AB21</f>
        <v>769.299618122305</v>
      </c>
      <c r="AG21" s="24" t="n">
        <f aca="false">U21+(($V21+$W21+$X21+$Y21)*12/19)+$AC21</f>
        <v>769.299618122305</v>
      </c>
      <c r="AI21" s="22" t="str">
        <f aca="false">B21</f>
        <v>APS IBAITI</v>
      </c>
      <c r="AJ21" s="67" t="n">
        <f aca="false">VLOOKUP(AI21,Unidades!D$5:H$29,5,)</f>
        <v>0.2354</v>
      </c>
      <c r="AK21" s="46" t="n">
        <f aca="false">AD21*(1+$AJ21)</f>
        <v>902.967821457781</v>
      </c>
      <c r="AL21" s="46" t="n">
        <f aca="false">AE21*(1+$AJ21)</f>
        <v>997.81767499881</v>
      </c>
      <c r="AM21" s="46" t="n">
        <f aca="false">AF21*(1+$AJ21)</f>
        <v>950.392748228295</v>
      </c>
      <c r="AN21" s="46" t="n">
        <f aca="false">AG21*(1+$AJ21)</f>
        <v>950.392748228295</v>
      </c>
      <c r="AO21" s="46" t="n">
        <f aca="false">((AK21*12)+(AL21*4)+(AM21*2)+AN21)/12</f>
        <v>1473.17190018112</v>
      </c>
      <c r="AP21" s="46" t="n">
        <f aca="false">AO21*3</f>
        <v>4419.51570054337</v>
      </c>
      <c r="AQ21" s="46" t="n">
        <f aca="false">AO21+AP21</f>
        <v>5892.6876007245</v>
      </c>
      <c r="AR21" s="68"/>
      <c r="AS21" s="68"/>
      <c r="AT21" s="68"/>
      <c r="AU21" s="68"/>
      <c r="AV21" s="68"/>
      <c r="AW21" s="68"/>
    </row>
    <row r="22" s="53" customFormat="true" ht="19.5" hidden="false" customHeight="true" outlineLevel="0" collapsed="false">
      <c r="B22" s="73" t="s">
        <v>102</v>
      </c>
      <c r="C22" s="74" t="n">
        <f aca="false">SUM(C7:C21)</f>
        <v>18068.29</v>
      </c>
      <c r="D22" s="74" t="n">
        <f aca="false">SUM(D7:D21)</f>
        <v>10089.68</v>
      </c>
      <c r="E22" s="74" t="n">
        <f aca="false">SUM(E7:E21)</f>
        <v>6889.37</v>
      </c>
      <c r="F22" s="74" t="n">
        <f aca="false">SUM(F7:F21)</f>
        <v>1089.24</v>
      </c>
      <c r="G22" s="74" t="n">
        <f aca="false">SUM(G7:G21)</f>
        <v>12609.8835</v>
      </c>
      <c r="H22" s="75" t="n">
        <f aca="false">SUM(H7:H21)</f>
        <v>25.5</v>
      </c>
      <c r="I22" s="75" t="n">
        <f aca="false">SUM(I7:I21)</f>
        <v>30.6</v>
      </c>
      <c r="J22" s="75" t="n">
        <f aca="false">COUNTIF(J7:J21,"SIM")</f>
        <v>6</v>
      </c>
      <c r="K22" s="75" t="n">
        <f aca="false">COUNTIF(K7:K21,"SIM")</f>
        <v>7</v>
      </c>
      <c r="L22" s="75" t="n">
        <f aca="false">SUM(L7:L21)</f>
        <v>40.05</v>
      </c>
      <c r="M22" s="75" t="n">
        <f aca="false">SUM(M7:M21)</f>
        <v>68.05</v>
      </c>
      <c r="N22" s="75" t="n">
        <f aca="false">SUM(N7:N21)</f>
        <v>576.55</v>
      </c>
      <c r="O22" s="76" t="n">
        <f aca="false">SUM(O7:O21)</f>
        <v>37970.5815</v>
      </c>
      <c r="P22" s="77"/>
      <c r="Q22" s="75" t="s">
        <v>102</v>
      </c>
      <c r="R22" s="78" t="n">
        <f aca="false">SUM(R7:R21)</f>
        <v>1584.315</v>
      </c>
      <c r="S22" s="78" t="n">
        <f aca="false">SUM(S7:S21)</f>
        <v>1901.178</v>
      </c>
      <c r="T22" s="78" t="n">
        <f aca="false">SUM(T7:T21)</f>
        <v>2488.3065</v>
      </c>
      <c r="U22" s="78" t="n">
        <f aca="false">SUM(U7:U21)</f>
        <v>6377.4765</v>
      </c>
      <c r="V22" s="78" t="n">
        <f aca="false">SUM(V7:V21)</f>
        <v>1325.06291666667</v>
      </c>
      <c r="W22" s="78" t="n">
        <f aca="false">SUM(W7:W21)</f>
        <v>0</v>
      </c>
      <c r="X22" s="78" t="n">
        <f aca="false">SUM(X7:X21)</f>
        <v>0</v>
      </c>
      <c r="Y22" s="78" t="n">
        <f aca="false">SUM(Y7:Y21)</f>
        <v>1422.84520833333</v>
      </c>
      <c r="Z22" s="78" t="n">
        <f aca="false">SUM(Z7:Z21)</f>
        <v>4941.6988829428</v>
      </c>
      <c r="AA22" s="78" t="n">
        <f aca="false">SUM(AA7:AA21)</f>
        <v>5930.03865953136</v>
      </c>
      <c r="AB22" s="78" t="n">
        <f aca="false">SUM(AB7:AB21)</f>
        <v>7761.37412791604</v>
      </c>
      <c r="AC22" s="78" t="n">
        <f aca="false">SUM(AC7:AC21)</f>
        <v>13187.5532935003</v>
      </c>
      <c r="AD22" s="78" t="n">
        <f aca="false">SUM(AD7:AD21)</f>
        <v>8261.53480399543</v>
      </c>
      <c r="AE22" s="78" t="n">
        <f aca="false">SUM(AE7:AE21)</f>
        <v>9566.73758058399</v>
      </c>
      <c r="AF22" s="78" t="n">
        <f aca="false">SUM(AF7:AF21)</f>
        <v>11985.2015489687</v>
      </c>
      <c r="AG22" s="78" t="n">
        <f aca="false">SUM(AG7:AG21)</f>
        <v>21300.5507145529</v>
      </c>
      <c r="AI22" s="75" t="s">
        <v>102</v>
      </c>
      <c r="AJ22" s="75"/>
      <c r="AK22" s="79" t="n">
        <f aca="false">SUM(AK7:AK21)</f>
        <v>10344.5024902565</v>
      </c>
      <c r="AL22" s="79" t="n">
        <f aca="false">SUM(AL7:AL21)</f>
        <v>11980.4590057594</v>
      </c>
      <c r="AM22" s="79" t="n">
        <f aca="false">SUM(AM7:AM21)</f>
        <v>15022.1956882821</v>
      </c>
      <c r="AN22" s="79" t="n">
        <f aca="false">SUM(AN7:AN21)</f>
        <v>26736.1726709208</v>
      </c>
      <c r="AO22" s="79" t="n">
        <f aca="false">SUM(AO7:AO21)</f>
        <v>19069.7024961334</v>
      </c>
      <c r="AP22" s="79" t="n">
        <f aca="false">SUM(AP7:AP21)</f>
        <v>57209.1074884002</v>
      </c>
      <c r="AQ22" s="79" t="n">
        <f aca="false">SUM(AQ7:AQ21)</f>
        <v>76278.8099845336</v>
      </c>
    </row>
    <row r="23" customFormat="false" ht="18" hidden="false" customHeight="true" outlineLevel="0" collapsed="false">
      <c r="H23" s="80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54"/>
      <c r="AE23" s="54"/>
      <c r="AF23" s="54"/>
      <c r="AG23" s="54"/>
    </row>
    <row r="24" customFormat="false" ht="39.75" hidden="false" customHeight="true" outlineLevel="0" collapsed="false">
      <c r="B24" s="45" t="s">
        <v>30</v>
      </c>
      <c r="C24" s="82" t="s">
        <v>103</v>
      </c>
      <c r="D24" s="82" t="s">
        <v>104</v>
      </c>
      <c r="E24" s="82" t="s">
        <v>105</v>
      </c>
      <c r="R24" s="83"/>
      <c r="Z24" s="83"/>
      <c r="AA24" s="83"/>
      <c r="AB24" s="83"/>
      <c r="AC24" s="83"/>
    </row>
    <row r="25" customFormat="false" ht="18" hidden="false" customHeight="true" outlineLevel="0" collapsed="false">
      <c r="B25" s="45"/>
      <c r="C25" s="24" t="n">
        <f aca="false">'Comp. Oficial de Manutenção'!D11</f>
        <v>34.79</v>
      </c>
      <c r="D25" s="24" t="n">
        <v>27.34</v>
      </c>
      <c r="E25" s="24" t="n">
        <v>41.1</v>
      </c>
    </row>
    <row r="26" customFormat="false" ht="28.5" hidden="false" customHeight="true" outlineLevel="0" collapsed="false">
      <c r="B26" s="49" t="str">
        <f aca="false">'Equipe Técnica'!B9</f>
        <v>* Tabela SINAPI Outubro/2023 (Não Desonerado)</v>
      </c>
    </row>
    <row r="27" customFormat="false" ht="23.2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2:AJ22"/>
    <mergeCell ref="B24:B25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S41"/>
  <sheetViews>
    <sheetView showFormulas="false" showGridLines="false" showRowColHeaders="true" showZeros="true" rightToLeft="false" tabSelected="false" showOutlineSymbols="true" defaultGridColor="true" view="normal" topLeftCell="A8" colorId="64" zoomScale="100" zoomScaleNormal="100" zoomScalePageLayoutView="100" workbookViewId="0">
      <selection pane="topLeft" activeCell="M9" activeCellId="0" sqref="M9"/>
    </sheetView>
  </sheetViews>
  <sheetFormatPr defaultColWidth="8.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3" min="4" style="84" width="9.62"/>
    <col collapsed="false" customWidth="true" hidden="false" outlineLevel="0" max="15" min="14" style="85" width="9.62"/>
    <col collapsed="false" customWidth="true" hidden="false" outlineLevel="0" max="17" min="16" style="84" width="9.62"/>
    <col collapsed="false" customWidth="true" hidden="false" outlineLevel="0" max="18" min="18" style="84" width="10.5"/>
    <col collapsed="false" customWidth="true" hidden="false" outlineLevel="0" max="19" min="19" style="84" width="12.5"/>
    <col collapsed="false" customWidth="false" hidden="false" outlineLevel="0" max="260" min="20" style="84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"&amp;Resumo!B5</f>
        <v>DESLOCAMENTO BASE LONDRINA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customFormat="false" ht="15" hidden="false" customHeight="true" outlineLevel="0" collapsed="false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customFormat="false" ht="37.5" hidden="false" customHeight="true" outlineLevel="0" collapsed="false">
      <c r="B4" s="21" t="s">
        <v>106</v>
      </c>
      <c r="C4" s="21" t="str">
        <f aca="false">"Rota (saída e retorno "&amp;Resumo!B5&amp;")"</f>
        <v>Rota (saída e retorno LONDRINA)</v>
      </c>
      <c r="D4" s="21" t="s">
        <v>107</v>
      </c>
      <c r="E4" s="21" t="s">
        <v>108</v>
      </c>
      <c r="F4" s="21" t="s">
        <v>109</v>
      </c>
      <c r="G4" s="21" t="s">
        <v>110</v>
      </c>
      <c r="H4" s="21" t="s">
        <v>111</v>
      </c>
      <c r="I4" s="21" t="s">
        <v>112</v>
      </c>
      <c r="J4" s="21" t="s">
        <v>113</v>
      </c>
      <c r="K4" s="21" t="s">
        <v>114</v>
      </c>
      <c r="L4" s="21" t="s">
        <v>115</v>
      </c>
      <c r="M4" s="87" t="s">
        <v>116</v>
      </c>
      <c r="N4" s="21" t="s">
        <v>117</v>
      </c>
      <c r="O4" s="21" t="s">
        <v>118</v>
      </c>
      <c r="P4" s="21" t="s">
        <v>119</v>
      </c>
      <c r="Q4" s="21" t="s">
        <v>67</v>
      </c>
      <c r="R4" s="21" t="s">
        <v>120</v>
      </c>
      <c r="S4" s="21" t="s">
        <v>121</v>
      </c>
    </row>
    <row r="5" customFormat="false" ht="15.75" hidden="false" customHeight="true" outlineLevel="0" collapsed="false">
      <c r="B5" s="88" t="n">
        <v>1</v>
      </c>
      <c r="C5" s="89" t="s">
        <v>100</v>
      </c>
      <c r="D5" s="90" t="n">
        <v>0</v>
      </c>
      <c r="E5" s="90" t="n">
        <v>0</v>
      </c>
      <c r="F5" s="90" t="n">
        <v>0</v>
      </c>
      <c r="G5" s="91" t="n">
        <v>0</v>
      </c>
      <c r="H5" s="90" t="n">
        <v>0</v>
      </c>
      <c r="I5" s="90" t="n">
        <v>0</v>
      </c>
      <c r="J5" s="90" t="n">
        <v>0</v>
      </c>
      <c r="K5" s="92" t="n">
        <f aca="false">SUM(H5:J5)</f>
        <v>0</v>
      </c>
      <c r="L5" s="93" t="n">
        <f aca="false">K5/60</f>
        <v>0</v>
      </c>
      <c r="M5" s="94" t="n">
        <v>0</v>
      </c>
      <c r="N5" s="92" t="n">
        <v>1</v>
      </c>
      <c r="O5" s="93" t="n">
        <f aca="false">L5/N5</f>
        <v>0</v>
      </c>
      <c r="P5" s="95" t="n">
        <v>0</v>
      </c>
      <c r="Q5" s="95" t="n">
        <v>0</v>
      </c>
      <c r="R5" s="96" t="str">
        <f aca="false">INDEX('Base Londrina'!$K$7:$K$21,MATCH('Desl. Base Londrina'!C5,'Base Londrina'!$B$7:$B$21,0))</f>
        <v>SIM</v>
      </c>
      <c r="S5" s="97" t="n">
        <v>1</v>
      </c>
    </row>
    <row r="6" customFormat="false" ht="15.75" hidden="false" customHeight="true" outlineLevel="0" collapsed="false">
      <c r="B6" s="88"/>
      <c r="C6" s="89" t="s">
        <v>81</v>
      </c>
      <c r="D6" s="90" t="n">
        <v>2.1</v>
      </c>
      <c r="E6" s="90" t="n">
        <v>1.3</v>
      </c>
      <c r="F6" s="90" t="n">
        <v>0</v>
      </c>
      <c r="G6" s="91" t="n">
        <f aca="false">SUM(D6:F6)</f>
        <v>3.4</v>
      </c>
      <c r="H6" s="90" t="n">
        <v>6</v>
      </c>
      <c r="I6" s="90" t="n">
        <v>5</v>
      </c>
      <c r="J6" s="90" t="n">
        <v>0</v>
      </c>
      <c r="K6" s="92" t="n">
        <f aca="false">SUM(H6:J6)</f>
        <v>11</v>
      </c>
      <c r="L6" s="93" t="n">
        <f aca="false">K6/60</f>
        <v>0.183333333333333</v>
      </c>
      <c r="M6" s="94" t="n">
        <v>0</v>
      </c>
      <c r="N6" s="92" t="n">
        <v>1</v>
      </c>
      <c r="O6" s="93" t="n">
        <f aca="false">L6/N6</f>
        <v>0.183333333333333</v>
      </c>
      <c r="P6" s="95" t="n">
        <v>0</v>
      </c>
      <c r="Q6" s="95" t="n">
        <v>0</v>
      </c>
      <c r="R6" s="96" t="str">
        <f aca="false">INDEX('Base Londrina'!$K$7:$K$21,MATCH('Desl. Base Londrina'!C6,'Base Londrina'!$B$7:$B$21,0))</f>
        <v>NÃO</v>
      </c>
      <c r="S6" s="97" t="n">
        <v>0</v>
      </c>
    </row>
    <row r="7" customFormat="false" ht="15.75" hidden="false" customHeight="true" outlineLevel="0" collapsed="false">
      <c r="B7" s="88" t="n">
        <v>2</v>
      </c>
      <c r="C7" s="98" t="s">
        <v>96</v>
      </c>
      <c r="D7" s="90" t="n">
        <v>1.6</v>
      </c>
      <c r="E7" s="90" t="n">
        <f aca="false">4.4-D7</f>
        <v>2.8</v>
      </c>
      <c r="F7" s="90" t="n">
        <v>3.9</v>
      </c>
      <c r="G7" s="99" t="n">
        <f aca="false">SUM(D7:F8)</f>
        <v>8.3</v>
      </c>
      <c r="H7" s="90" t="n">
        <v>6</v>
      </c>
      <c r="I7" s="90" t="n">
        <v>8</v>
      </c>
      <c r="J7" s="90" t="n">
        <v>11</v>
      </c>
      <c r="K7" s="92" t="n">
        <f aca="false">SUM(H7:J8)</f>
        <v>25</v>
      </c>
      <c r="L7" s="100" t="n">
        <f aca="false">K7/60</f>
        <v>0.416666666666667</v>
      </c>
      <c r="M7" s="94" t="n">
        <v>0</v>
      </c>
      <c r="N7" s="92" t="n">
        <v>2</v>
      </c>
      <c r="O7" s="100" t="n">
        <f aca="false">L7/N7</f>
        <v>0.208333333333333</v>
      </c>
      <c r="P7" s="94" t="n">
        <v>0</v>
      </c>
      <c r="Q7" s="94" t="n">
        <v>0</v>
      </c>
      <c r="R7" s="96" t="str">
        <f aca="false">INDEX('Base Londrina'!$K$7:$K$21,MATCH('Desl. Base Londrina'!C7,'Base Londrina'!$B$7:$B$21,0))</f>
        <v>NÃO</v>
      </c>
      <c r="S7" s="97" t="n">
        <v>1</v>
      </c>
    </row>
    <row r="8" customFormat="false" ht="15.75" hidden="false" customHeight="true" outlineLevel="0" collapsed="false">
      <c r="B8" s="88"/>
      <c r="C8" s="98" t="s">
        <v>97</v>
      </c>
      <c r="D8" s="90"/>
      <c r="E8" s="90"/>
      <c r="F8" s="90"/>
      <c r="G8" s="99"/>
      <c r="H8" s="90"/>
      <c r="I8" s="90"/>
      <c r="J8" s="90"/>
      <c r="K8" s="92"/>
      <c r="L8" s="100"/>
      <c r="M8" s="94" t="n">
        <v>0</v>
      </c>
      <c r="N8" s="92"/>
      <c r="O8" s="100" t="n">
        <f aca="false">O7</f>
        <v>0.208333333333333</v>
      </c>
      <c r="P8" s="94" t="n">
        <v>0</v>
      </c>
      <c r="Q8" s="94" t="n">
        <v>0</v>
      </c>
      <c r="R8" s="96" t="str">
        <f aca="false">INDEX('Base Londrina'!$K$7:$K$21,MATCH('Desl. Base Londrina'!C8,'Base Londrina'!$B$7:$B$21,0))</f>
        <v>SIM</v>
      </c>
      <c r="S8" s="97" t="n">
        <v>1</v>
      </c>
    </row>
    <row r="9" customFormat="false" ht="15.75" hidden="false" customHeight="true" outlineLevel="0" collapsed="false">
      <c r="B9" s="88" t="n">
        <v>3</v>
      </c>
      <c r="C9" s="98" t="s">
        <v>90</v>
      </c>
      <c r="D9" s="90" t="n">
        <v>21.2</v>
      </c>
      <c r="E9" s="90" t="n">
        <v>11.2</v>
      </c>
      <c r="F9" s="90" t="n">
        <v>29</v>
      </c>
      <c r="G9" s="99" t="n">
        <f aca="false">SUM(D9:F10)</f>
        <v>61.4</v>
      </c>
      <c r="H9" s="90" t="n">
        <v>25</v>
      </c>
      <c r="I9" s="90" t="n">
        <v>17</v>
      </c>
      <c r="J9" s="90" t="n">
        <v>32</v>
      </c>
      <c r="K9" s="92" t="n">
        <f aca="false">SUM(H9:J10)</f>
        <v>74</v>
      </c>
      <c r="L9" s="100" t="n">
        <f aca="false">K9/60</f>
        <v>1.23333333333333</v>
      </c>
      <c r="M9" s="94" t="n">
        <v>0</v>
      </c>
      <c r="N9" s="92" t="n">
        <v>2</v>
      </c>
      <c r="O9" s="100" t="n">
        <f aca="false">L9/N9</f>
        <v>0.616666666666667</v>
      </c>
      <c r="P9" s="94" t="n">
        <v>0</v>
      </c>
      <c r="Q9" s="94" t="n">
        <v>0</v>
      </c>
      <c r="R9" s="96" t="str">
        <f aca="false">INDEX('Base Londrina'!$K$7:$K$21,MATCH('Desl. Base Londrina'!C9,'Base Londrina'!$B$7:$B$21,0))</f>
        <v>NÃO</v>
      </c>
      <c r="S9" s="97" t="n">
        <v>1</v>
      </c>
    </row>
    <row r="10" customFormat="false" ht="15.75" hidden="false" customHeight="true" outlineLevel="0" collapsed="false">
      <c r="B10" s="88"/>
      <c r="C10" s="98" t="s">
        <v>98</v>
      </c>
      <c r="D10" s="90"/>
      <c r="E10" s="90"/>
      <c r="F10" s="90"/>
      <c r="G10" s="99"/>
      <c r="H10" s="90"/>
      <c r="I10" s="90"/>
      <c r="J10" s="90"/>
      <c r="K10" s="92"/>
      <c r="L10" s="100"/>
      <c r="M10" s="94" t="n">
        <v>0</v>
      </c>
      <c r="N10" s="92"/>
      <c r="O10" s="100" t="n">
        <f aca="false">O9</f>
        <v>0.616666666666667</v>
      </c>
      <c r="P10" s="94" t="n">
        <v>0</v>
      </c>
      <c r="Q10" s="94" t="n">
        <v>0</v>
      </c>
      <c r="R10" s="96" t="str">
        <f aca="false">INDEX('Base Londrina'!$K$7:$K$21,MATCH('Desl. Base Londrina'!C10,'Base Londrina'!$B$7:$B$21,0))</f>
        <v>SIM</v>
      </c>
      <c r="S10" s="97" t="n">
        <v>1</v>
      </c>
    </row>
    <row r="11" customFormat="false" ht="15.75" hidden="false" customHeight="true" outlineLevel="0" collapsed="false">
      <c r="B11" s="88" t="n">
        <v>4</v>
      </c>
      <c r="C11" s="98" t="s">
        <v>85</v>
      </c>
      <c r="D11" s="90" t="n">
        <v>59.7</v>
      </c>
      <c r="E11" s="90" t="n">
        <f aca="false">78.5-D11</f>
        <v>18.8</v>
      </c>
      <c r="F11" s="90" t="n">
        <v>42.8</v>
      </c>
      <c r="G11" s="99" t="n">
        <f aca="false">SUM(D11:F12)</f>
        <v>121.3</v>
      </c>
      <c r="H11" s="90" t="n">
        <v>65</v>
      </c>
      <c r="I11" s="90" t="n">
        <f aca="false">88-H11</f>
        <v>23</v>
      </c>
      <c r="J11" s="90" t="n">
        <v>44</v>
      </c>
      <c r="K11" s="92" t="n">
        <f aca="false">SUM(H11:J12)</f>
        <v>132</v>
      </c>
      <c r="L11" s="100" t="n">
        <f aca="false">K11/60</f>
        <v>2.2</v>
      </c>
      <c r="M11" s="94" t="n">
        <v>0</v>
      </c>
      <c r="N11" s="92" t="n">
        <v>2</v>
      </c>
      <c r="O11" s="100" t="n">
        <f aca="false">L11/N11</f>
        <v>1.1</v>
      </c>
      <c r="P11" s="94" t="n">
        <v>0</v>
      </c>
      <c r="Q11" s="94" t="n">
        <v>0</v>
      </c>
      <c r="R11" s="96" t="str">
        <f aca="false">INDEX('Base Londrina'!$K$7:$K$21,MATCH('Desl. Base Londrina'!C11,'Base Londrina'!$B$7:$B$21,0))</f>
        <v>SIM</v>
      </c>
      <c r="S11" s="97" t="n">
        <v>1</v>
      </c>
    </row>
    <row r="12" customFormat="false" ht="15.75" hidden="false" customHeight="true" outlineLevel="0" collapsed="false">
      <c r="B12" s="88"/>
      <c r="C12" s="98" t="s">
        <v>86</v>
      </c>
      <c r="D12" s="90"/>
      <c r="E12" s="90"/>
      <c r="F12" s="90"/>
      <c r="G12" s="99"/>
      <c r="H12" s="90"/>
      <c r="I12" s="90"/>
      <c r="J12" s="90"/>
      <c r="K12" s="92"/>
      <c r="L12" s="100"/>
      <c r="M12" s="94" t="n">
        <v>0</v>
      </c>
      <c r="N12" s="92"/>
      <c r="O12" s="100" t="n">
        <f aca="false">O11</f>
        <v>1.1</v>
      </c>
      <c r="P12" s="94" t="n">
        <v>0</v>
      </c>
      <c r="Q12" s="94" t="n">
        <v>0</v>
      </c>
      <c r="R12" s="96" t="str">
        <f aca="false">INDEX('Base Londrina'!$K$7:$K$21,MATCH('Desl. Base Londrina'!C12,'Base Londrina'!$B$7:$B$21,0))</f>
        <v>NÃO</v>
      </c>
      <c r="S12" s="97" t="n">
        <v>1</v>
      </c>
    </row>
    <row r="13" customFormat="false" ht="15.75" hidden="false" customHeight="true" outlineLevel="0" collapsed="false">
      <c r="B13" s="88" t="n">
        <v>5</v>
      </c>
      <c r="C13" s="98" t="s">
        <v>92</v>
      </c>
      <c r="D13" s="90" t="n">
        <v>72</v>
      </c>
      <c r="E13" s="90" t="n">
        <v>36</v>
      </c>
      <c r="F13" s="90" t="n">
        <v>106</v>
      </c>
      <c r="G13" s="99" t="n">
        <f aca="false">SUM(D13:F14)</f>
        <v>214</v>
      </c>
      <c r="H13" s="90" t="n">
        <v>60</v>
      </c>
      <c r="I13" s="90" t="n">
        <v>38</v>
      </c>
      <c r="J13" s="90" t="n">
        <v>93</v>
      </c>
      <c r="K13" s="92" t="n">
        <f aca="false">SUM(H13:J14)</f>
        <v>191</v>
      </c>
      <c r="L13" s="100" t="n">
        <f aca="false">K13/60</f>
        <v>3.18333333333333</v>
      </c>
      <c r="M13" s="94" t="n">
        <v>0</v>
      </c>
      <c r="N13" s="92" t="n">
        <v>2</v>
      </c>
      <c r="O13" s="100" t="n">
        <f aca="false">L13/N13</f>
        <v>1.59166666666667</v>
      </c>
      <c r="P13" s="94" t="n">
        <v>0</v>
      </c>
      <c r="Q13" s="94" t="n">
        <v>0</v>
      </c>
      <c r="R13" s="96" t="str">
        <f aca="false">INDEX('Base Londrina'!$K$7:$K$21,MATCH('Desl. Base Londrina'!C13,'Base Londrina'!$B$7:$B$21,0))</f>
        <v>SIM</v>
      </c>
      <c r="S13" s="97" t="n">
        <v>1</v>
      </c>
    </row>
    <row r="14" customFormat="false" ht="15.75" hidden="false" customHeight="true" outlineLevel="0" collapsed="false">
      <c r="B14" s="88"/>
      <c r="C14" s="98" t="s">
        <v>87</v>
      </c>
      <c r="D14" s="90"/>
      <c r="E14" s="90"/>
      <c r="F14" s="90"/>
      <c r="G14" s="99"/>
      <c r="H14" s="90"/>
      <c r="I14" s="90"/>
      <c r="J14" s="90"/>
      <c r="K14" s="92"/>
      <c r="L14" s="100"/>
      <c r="M14" s="94" t="n">
        <v>0</v>
      </c>
      <c r="N14" s="92"/>
      <c r="O14" s="100" t="n">
        <f aca="false">O13</f>
        <v>1.59166666666667</v>
      </c>
      <c r="P14" s="94" t="n">
        <v>0</v>
      </c>
      <c r="Q14" s="94" t="n">
        <v>0</v>
      </c>
      <c r="R14" s="96" t="str">
        <f aca="false">INDEX('Base Londrina'!$K$7:$K$21,MATCH('Desl. Base Londrina'!C14,'Base Londrina'!$B$7:$B$21,0))</f>
        <v>SIM</v>
      </c>
      <c r="S14" s="97" t="n">
        <v>1</v>
      </c>
    </row>
    <row r="15" customFormat="false" ht="15.75" hidden="false" customHeight="true" outlineLevel="0" collapsed="false">
      <c r="B15" s="88" t="n">
        <v>6</v>
      </c>
      <c r="C15" s="98" t="s">
        <v>83</v>
      </c>
      <c r="D15" s="90" t="n">
        <v>122</v>
      </c>
      <c r="E15" s="90" t="n">
        <v>18</v>
      </c>
      <c r="F15" s="90" t="n">
        <v>137</v>
      </c>
      <c r="G15" s="99" t="n">
        <f aca="false">SUM(D15:F16)</f>
        <v>277</v>
      </c>
      <c r="H15" s="90" t="n">
        <v>100</v>
      </c>
      <c r="I15" s="90" t="n">
        <v>19</v>
      </c>
      <c r="J15" s="90" t="n">
        <v>113</v>
      </c>
      <c r="K15" s="92" t="n">
        <f aca="false">SUM(H15:J16)</f>
        <v>232</v>
      </c>
      <c r="L15" s="100" t="n">
        <f aca="false">K15/60</f>
        <v>3.86666666666667</v>
      </c>
      <c r="M15" s="94" t="n">
        <v>0</v>
      </c>
      <c r="N15" s="92" t="n">
        <v>2</v>
      </c>
      <c r="O15" s="100" t="n">
        <f aca="false">L15/N15</f>
        <v>1.93333333333333</v>
      </c>
      <c r="P15" s="94" t="n">
        <v>0</v>
      </c>
      <c r="Q15" s="94" t="n">
        <v>0</v>
      </c>
      <c r="R15" s="96" t="str">
        <f aca="false">INDEX('Base Londrina'!$K$7:$K$21,MATCH('Desl. Base Londrina'!C15,'Base Londrina'!$B$7:$B$21,0))</f>
        <v>NÃO</v>
      </c>
      <c r="S15" s="97" t="n">
        <v>0</v>
      </c>
    </row>
    <row r="16" customFormat="false" ht="15.75" hidden="false" customHeight="true" outlineLevel="0" collapsed="false">
      <c r="B16" s="88"/>
      <c r="C16" s="98" t="s">
        <v>89</v>
      </c>
      <c r="D16" s="90"/>
      <c r="E16" s="90"/>
      <c r="F16" s="90"/>
      <c r="G16" s="99"/>
      <c r="H16" s="90"/>
      <c r="I16" s="90"/>
      <c r="J16" s="90"/>
      <c r="K16" s="92"/>
      <c r="L16" s="100"/>
      <c r="M16" s="94" t="n">
        <v>0</v>
      </c>
      <c r="N16" s="92"/>
      <c r="O16" s="100" t="n">
        <f aca="false">O15</f>
        <v>1.93333333333333</v>
      </c>
      <c r="P16" s="94" t="n">
        <v>0</v>
      </c>
      <c r="Q16" s="94" t="n">
        <v>0</v>
      </c>
      <c r="R16" s="96" t="str">
        <f aca="false">INDEX('Base Londrina'!$K$7:$K$21,MATCH('Desl. Base Londrina'!C16,'Base Londrina'!$B$7:$B$21,0))</f>
        <v>NÃO</v>
      </c>
      <c r="S16" s="97" t="n">
        <v>0</v>
      </c>
    </row>
    <row r="17" customFormat="false" ht="15.75" hidden="false" customHeight="true" outlineLevel="0" collapsed="false">
      <c r="B17" s="88" t="n">
        <v>7</v>
      </c>
      <c r="C17" s="98" t="s">
        <v>94</v>
      </c>
      <c r="D17" s="90" t="n">
        <v>157</v>
      </c>
      <c r="E17" s="90" t="n">
        <v>24</v>
      </c>
      <c r="F17" s="90" t="n">
        <v>158</v>
      </c>
      <c r="G17" s="99" t="n">
        <f aca="false">SUM(D17:F18)</f>
        <v>339</v>
      </c>
      <c r="H17" s="90" t="n">
        <v>133</v>
      </c>
      <c r="I17" s="90" t="n">
        <f aca="false">166-H17</f>
        <v>33</v>
      </c>
      <c r="J17" s="90" t="n">
        <v>131</v>
      </c>
      <c r="K17" s="92" t="n">
        <f aca="false">SUM(H17:J18)</f>
        <v>297</v>
      </c>
      <c r="L17" s="100" t="n">
        <f aca="false">K17/60</f>
        <v>4.95</v>
      </c>
      <c r="M17" s="94" t="n">
        <v>0</v>
      </c>
      <c r="N17" s="92" t="n">
        <v>2</v>
      </c>
      <c r="O17" s="100" t="n">
        <f aca="false">L17/N17</f>
        <v>2.475</v>
      </c>
      <c r="P17" s="94" t="n">
        <v>0</v>
      </c>
      <c r="Q17" s="94" t="n">
        <v>0</v>
      </c>
      <c r="R17" s="96" t="str">
        <f aca="false">INDEX('Base Londrina'!$K$7:$K$21,MATCH('Desl. Base Londrina'!C17,'Base Londrina'!$B$7:$B$21,0))</f>
        <v>SIM</v>
      </c>
      <c r="S17" s="97" t="n">
        <v>1</v>
      </c>
    </row>
    <row r="18" customFormat="false" ht="15.75" hidden="false" customHeight="true" outlineLevel="0" collapsed="false">
      <c r="B18" s="88"/>
      <c r="C18" s="98" t="s">
        <v>99</v>
      </c>
      <c r="D18" s="90"/>
      <c r="E18" s="90"/>
      <c r="F18" s="90"/>
      <c r="G18" s="99"/>
      <c r="H18" s="90"/>
      <c r="I18" s="90"/>
      <c r="J18" s="90"/>
      <c r="K18" s="92"/>
      <c r="L18" s="100"/>
      <c r="M18" s="94" t="n">
        <v>0</v>
      </c>
      <c r="N18" s="92"/>
      <c r="O18" s="100" t="n">
        <f aca="false">O17</f>
        <v>2.475</v>
      </c>
      <c r="P18" s="94" t="n">
        <v>0</v>
      </c>
      <c r="Q18" s="94" t="n">
        <v>0</v>
      </c>
      <c r="R18" s="96" t="str">
        <f aca="false">INDEX('Base Londrina'!$K$7:$K$21,MATCH('Desl. Base Londrina'!C18,'Base Londrina'!$B$7:$B$21,0))</f>
        <v>NÃO</v>
      </c>
      <c r="S18" s="97" t="n">
        <v>1</v>
      </c>
    </row>
    <row r="19" customFormat="false" ht="15.75" hidden="false" customHeight="true" outlineLevel="0" collapsed="false">
      <c r="B19" s="88" t="n">
        <v>8</v>
      </c>
      <c r="C19" s="98" t="s">
        <v>101</v>
      </c>
      <c r="D19" s="90" t="n">
        <v>161</v>
      </c>
      <c r="E19" s="90" t="n">
        <v>160</v>
      </c>
      <c r="F19" s="90" t="n">
        <v>0</v>
      </c>
      <c r="G19" s="99" t="n">
        <f aca="false">SUM(D19:F19)</f>
        <v>321</v>
      </c>
      <c r="H19" s="90" t="n">
        <v>141</v>
      </c>
      <c r="I19" s="90" t="n">
        <v>137</v>
      </c>
      <c r="J19" s="90" t="n">
        <v>0</v>
      </c>
      <c r="K19" s="92" t="n">
        <f aca="false">SUM(H19:J19)</f>
        <v>278</v>
      </c>
      <c r="L19" s="100" t="n">
        <f aca="false">K19/60</f>
        <v>4.63333333333333</v>
      </c>
      <c r="M19" s="94" t="n">
        <v>0</v>
      </c>
      <c r="N19" s="92" t="n">
        <v>1</v>
      </c>
      <c r="O19" s="100" t="n">
        <f aca="false">L19/N19</f>
        <v>4.63333333333333</v>
      </c>
      <c r="P19" s="94" t="n">
        <v>0</v>
      </c>
      <c r="Q19" s="94" t="n">
        <v>0</v>
      </c>
      <c r="R19" s="96" t="str">
        <f aca="false">INDEX('Base Londrina'!$K$7:$K$21,MATCH('Desl. Base Londrina'!C19,'Base Londrina'!$B$7:$B$21,0))</f>
        <v>NÃO</v>
      </c>
      <c r="S19" s="97" t="n">
        <v>0</v>
      </c>
    </row>
    <row r="20" customFormat="false" ht="19.5" hidden="false" customHeight="true" outlineLevel="0" collapsed="false">
      <c r="B20" s="101" t="s">
        <v>102</v>
      </c>
      <c r="C20" s="101"/>
      <c r="D20" s="101"/>
      <c r="E20" s="101"/>
      <c r="F20" s="101"/>
      <c r="G20" s="102" t="n">
        <f aca="false">SUM(G5:G19)</f>
        <v>1345.4</v>
      </c>
      <c r="H20" s="103" t="s">
        <v>102</v>
      </c>
      <c r="I20" s="103"/>
      <c r="J20" s="103"/>
      <c r="K20" s="104" t="n">
        <f aca="false">SUM(K5:K19)</f>
        <v>1240</v>
      </c>
      <c r="L20" s="105" t="n">
        <f aca="false">SUM(L5:L19)</f>
        <v>20.6666666666667</v>
      </c>
      <c r="M20" s="106" t="n">
        <f aca="false">SUM(M5:M19)</f>
        <v>0</v>
      </c>
      <c r="N20" s="107" t="n">
        <f aca="false">SUM(N5:N19)</f>
        <v>15</v>
      </c>
      <c r="O20" s="105"/>
      <c r="P20" s="106"/>
      <c r="Q20" s="106" t="n">
        <f aca="false">SUM(Q5:Q19)</f>
        <v>0</v>
      </c>
    </row>
    <row r="21" customFormat="false" ht="16.5" hidden="false" customHeight="true" outlineLevel="0" collapsed="false">
      <c r="B21" s="108"/>
      <c r="C21" s="108"/>
      <c r="D21" s="108"/>
      <c r="E21" s="108"/>
      <c r="F21" s="108"/>
    </row>
    <row r="22" customFormat="false" ht="18.75" hidden="false" customHeight="true" outlineLevel="0" collapsed="false">
      <c r="B22" s="109" t="s">
        <v>122</v>
      </c>
      <c r="C22" s="109"/>
      <c r="D22" s="109"/>
      <c r="E22" s="109"/>
      <c r="F22" s="108"/>
      <c r="G22" s="108"/>
      <c r="H22" s="108"/>
      <c r="I22" s="108"/>
      <c r="J22" s="108"/>
      <c r="K22" s="108"/>
      <c r="L22" s="108"/>
      <c r="M22" s="108"/>
      <c r="N22" s="110"/>
      <c r="O22" s="110"/>
    </row>
    <row r="23" customFormat="false" ht="18.75" hidden="false" customHeight="true" outlineLevel="0" collapsed="false">
      <c r="B23" s="111" t="s">
        <v>123</v>
      </c>
      <c r="C23" s="111" t="s">
        <v>124</v>
      </c>
      <c r="D23" s="111" t="s">
        <v>125</v>
      </c>
      <c r="E23" s="111" t="s">
        <v>126</v>
      </c>
      <c r="F23" s="108"/>
      <c r="G23" s="108"/>
      <c r="H23" s="110"/>
      <c r="I23" s="110"/>
      <c r="J23" s="108"/>
      <c r="K23" s="108"/>
      <c r="L23" s="108"/>
      <c r="M23" s="108"/>
      <c r="N23" s="110"/>
      <c r="O23" s="110"/>
    </row>
    <row r="24" customFormat="false" ht="18.75" hidden="false" customHeight="true" outlineLevel="0" collapsed="false">
      <c r="B24" s="48" t="s">
        <v>127</v>
      </c>
      <c r="C24" s="112" t="s">
        <v>128</v>
      </c>
      <c r="D24" s="48" t="s">
        <v>129</v>
      </c>
      <c r="E24" s="113" t="n">
        <f aca="false">'Comp. Veículo'!D11</f>
        <v>52.69</v>
      </c>
      <c r="F24" s="108"/>
      <c r="G24" s="108"/>
      <c r="H24" s="114"/>
      <c r="I24" s="114"/>
      <c r="J24" s="108"/>
      <c r="K24" s="108"/>
      <c r="L24" s="108"/>
      <c r="M24" s="108"/>
      <c r="N24" s="110"/>
      <c r="O24" s="110"/>
    </row>
    <row r="25" customFormat="false" ht="18.75" hidden="false" customHeight="true" outlineLevel="0" collapsed="false">
      <c r="B25" s="115" t="s">
        <v>130</v>
      </c>
      <c r="C25" s="116" t="s">
        <v>128</v>
      </c>
      <c r="D25" s="115" t="s">
        <v>131</v>
      </c>
      <c r="E25" s="117" t="n">
        <f aca="false">'Comp. Veículo'!D27</f>
        <v>6.95</v>
      </c>
      <c r="F25" s="108"/>
      <c r="G25" s="108"/>
      <c r="H25" s="114"/>
      <c r="I25" s="114"/>
      <c r="J25" s="108"/>
      <c r="K25" s="108"/>
      <c r="L25" s="108"/>
      <c r="M25" s="108"/>
      <c r="N25" s="110"/>
      <c r="O25" s="110"/>
    </row>
    <row r="26" customFormat="false" ht="47.25" hidden="false" customHeight="true" outlineLevel="0" collapsed="false">
      <c r="B26" s="118" t="s">
        <v>132</v>
      </c>
      <c r="C26" s="118"/>
      <c r="D26" s="118"/>
      <c r="E26" s="118"/>
      <c r="F26" s="119"/>
      <c r="G26" s="119"/>
      <c r="H26" s="119"/>
      <c r="I26" s="119"/>
      <c r="J26" s="119"/>
      <c r="K26" s="119"/>
      <c r="L26" s="119"/>
      <c r="M26" s="108"/>
      <c r="N26" s="110"/>
      <c r="O26" s="110"/>
    </row>
    <row r="27" customFormat="false" ht="16.5" hidden="false" customHeight="true" outlineLevel="0" collapsed="false">
      <c r="B27" s="120"/>
      <c r="C27" s="120"/>
      <c r="D27" s="120"/>
      <c r="E27" s="120"/>
      <c r="F27" s="119"/>
      <c r="G27" s="119"/>
      <c r="H27" s="119"/>
      <c r="I27" s="119"/>
      <c r="J27" s="119"/>
      <c r="K27" s="119"/>
      <c r="L27" s="119"/>
      <c r="M27" s="108"/>
      <c r="N27" s="110"/>
      <c r="O27" s="110"/>
    </row>
    <row r="28" customFormat="false" ht="16.5" hidden="false" customHeight="true" outlineLevel="0" collapsed="false">
      <c r="B28" s="109" t="s">
        <v>133</v>
      </c>
      <c r="C28" s="109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10"/>
      <c r="O28" s="110"/>
    </row>
    <row r="29" customFormat="false" ht="16.5" hidden="false" customHeight="true" outlineLevel="0" collapsed="false">
      <c r="B29" s="48" t="s">
        <v>129</v>
      </c>
      <c r="C29" s="113" t="n">
        <f aca="false">E24*L20</f>
        <v>1088.92666666667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10"/>
      <c r="O29" s="110"/>
    </row>
    <row r="30" customFormat="false" ht="16.5" hidden="false" customHeight="true" outlineLevel="0" collapsed="false">
      <c r="B30" s="48" t="s">
        <v>131</v>
      </c>
      <c r="C30" s="113" t="n">
        <f aca="false">E25*('Base Londrina'!N22/12)</f>
        <v>333.918541666667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10"/>
      <c r="O30" s="110"/>
    </row>
    <row r="31" customFormat="false" ht="16.5" hidden="false" customHeight="true" outlineLevel="0" collapsed="false">
      <c r="B31" s="121" t="s">
        <v>28</v>
      </c>
      <c r="C31" s="122" t="n">
        <f aca="false">C29+C30</f>
        <v>1422.84520833333</v>
      </c>
      <c r="D31" s="108"/>
      <c r="E31" s="108"/>
      <c r="F31" s="108"/>
      <c r="G31" s="108"/>
      <c r="H31" s="108"/>
      <c r="I31" s="108"/>
      <c r="M31" s="108"/>
      <c r="N31" s="110"/>
      <c r="O31" s="110"/>
    </row>
    <row r="32" customFormat="false" ht="16.5" hidden="false" customHeight="true" outlineLevel="0" collapsed="false">
      <c r="B32" s="108"/>
      <c r="C32" s="123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10"/>
      <c r="O32" s="110"/>
    </row>
    <row r="33" customFormat="false" ht="16.5" hidden="false" customHeight="true" outlineLevel="0" collapsed="false">
      <c r="B33" s="124" t="s">
        <v>134</v>
      </c>
      <c r="C33" s="124"/>
      <c r="D33" s="108"/>
      <c r="J33" s="108"/>
      <c r="K33" s="108"/>
      <c r="L33" s="108"/>
      <c r="M33" s="108"/>
      <c r="N33" s="110"/>
      <c r="O33" s="110"/>
    </row>
    <row r="34" customFormat="false" ht="16.5" hidden="false" customHeight="true" outlineLevel="0" collapsed="false">
      <c r="B34" s="125" t="s">
        <v>126</v>
      </c>
      <c r="C34" s="126" t="n">
        <f aca="false">SUM(M5:M19)</f>
        <v>0</v>
      </c>
      <c r="J34" s="108"/>
      <c r="K34" s="108"/>
      <c r="L34" s="108"/>
      <c r="M34" s="108"/>
      <c r="N34" s="110"/>
      <c r="O34" s="110"/>
    </row>
    <row r="35" customFormat="false" ht="16.5" hidden="false" customHeight="true" outlineLevel="0" collapsed="false">
      <c r="B35" s="108"/>
      <c r="C35" s="127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10"/>
      <c r="O35" s="110"/>
    </row>
    <row r="36" customFormat="false" ht="13.5" hidden="false" customHeight="false" outlineLevel="0" collapsed="false">
      <c r="B36" s="128" t="s">
        <v>135</v>
      </c>
      <c r="C36" s="129"/>
    </row>
    <row r="38" customFormat="false" ht="13.5" hidden="false" customHeight="false" outlineLevel="0" collapsed="false">
      <c r="B38" s="130" t="s">
        <v>67</v>
      </c>
      <c r="C38" s="130"/>
      <c r="D38" s="130"/>
      <c r="E38" s="130"/>
    </row>
    <row r="39" customFormat="false" ht="13.5" hidden="false" customHeight="false" outlineLevel="0" collapsed="false">
      <c r="B39" s="131" t="s">
        <v>136</v>
      </c>
      <c r="C39" s="131" t="s">
        <v>124</v>
      </c>
      <c r="D39" s="131" t="s">
        <v>125</v>
      </c>
      <c r="E39" s="131" t="s">
        <v>126</v>
      </c>
    </row>
    <row r="40" customFormat="false" ht="26.25" hidden="false" customHeight="false" outlineLevel="0" collapsed="false">
      <c r="B40" s="115" t="s">
        <v>137</v>
      </c>
      <c r="C40" s="132" t="s">
        <v>138</v>
      </c>
      <c r="D40" s="115" t="s">
        <v>139</v>
      </c>
      <c r="E40" s="117" t="n">
        <v>132.74</v>
      </c>
    </row>
    <row r="41" customFormat="false" ht="13.5" hidden="false" customHeight="false" outlineLevel="0" collapsed="false">
      <c r="B41" s="133" t="s">
        <v>140</v>
      </c>
      <c r="C41" s="133"/>
      <c r="D41" s="133"/>
      <c r="E41" s="133"/>
    </row>
  </sheetData>
  <mergeCells count="76">
    <mergeCell ref="B2:S2"/>
    <mergeCell ref="B5:B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N17:N18"/>
    <mergeCell ref="B20:F20"/>
    <mergeCell ref="H20:J20"/>
    <mergeCell ref="B22:E22"/>
    <mergeCell ref="B26:E26"/>
    <mergeCell ref="B28:C28"/>
    <mergeCell ref="B33:C33"/>
    <mergeCell ref="B38:E38"/>
    <mergeCell ref="B41:E41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9FF66"/>
    <pageSetUpPr fitToPage="false"/>
  </sheetPr>
  <dimension ref="B1:BN65527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P22" activeCellId="0" sqref="P22"/>
    </sheetView>
  </sheetViews>
  <sheetFormatPr defaultColWidth="10.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9.62"/>
    <col collapsed="false" customWidth="true" hidden="false" outlineLevel="0" max="17" min="17" style="16" width="31.62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1.62"/>
    <col collapsed="false" customWidth="true" hidden="false" outlineLevel="0" max="40" min="36" style="16" width="10.75"/>
    <col collapsed="false" customWidth="true" hidden="false" outlineLevel="0" max="43" min="41" style="16" width="12.5"/>
    <col collapsed="false" customWidth="true" hidden="false" outlineLevel="0" max="44" min="44" style="16" width="2.62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66" min="50" style="16" width="10.75"/>
    <col collapsed="false" customWidth="true" hidden="false" outlineLevel="0" max="256" min="67" style="2" width="10.75"/>
    <col collapsed="false" customWidth="true" hidden="false" outlineLevel="0" max="1024" min="1013" style="1" width="8.5"/>
  </cols>
  <sheetData>
    <row r="1" customFormat="false" ht="15" hidden="false" customHeight="true" outlineLevel="0" collapsed="false"/>
    <row r="2" s="51" customFormat="true" ht="24.75" hidden="false" customHeight="true" outlineLevel="0" collapsed="false">
      <c r="B2" s="52" t="str">
        <f aca="false">"BASE "&amp;Resumo!B6&amp;" - PLANILHA DE FORMAÇÃO DE PREÇOS"</f>
        <v>BASE GUARAPUAVA - PLANILHA DE FORMAÇÃO DE PREÇOS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  <c r="Q2" s="42" t="str">
        <f aca="false">"BASE "&amp;Resumo!B6&amp;" – PLANILHA DE DISTRIBUIÇÃO DE CUSTOS POR UNIDADE"</f>
        <v>BASE GUARAPUAVA – PLANILHA DE DISTRIBUIÇÃO DE CUSTOS POR UNIDADE</v>
      </c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3"/>
      <c r="AI2" s="55" t="str">
        <f aca="false">"BASE "&amp;Resumo!B6&amp;" – PLANILHA RESUMO DE CUSTOS DA BASE"</f>
        <v>BASE GUARAPUAVA – PLANILHA RESUMO DE CUSTOS DA BASE</v>
      </c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</row>
    <row r="3" customFormat="false" ht="15" hidden="false" customHeight="true" outlineLevel="0" collapsed="false">
      <c r="B3" s="51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</row>
    <row r="4" customFormat="false" ht="19.5" hidden="false" customHeight="true" outlineLevel="0" collapsed="false">
      <c r="B4" s="45" t="s">
        <v>41</v>
      </c>
      <c r="C4" s="45" t="s">
        <v>42</v>
      </c>
      <c r="D4" s="45"/>
      <c r="E4" s="45"/>
      <c r="F4" s="45"/>
      <c r="G4" s="45"/>
      <c r="H4" s="45" t="s">
        <v>43</v>
      </c>
      <c r="I4" s="45"/>
      <c r="J4" s="45"/>
      <c r="K4" s="45"/>
      <c r="L4" s="45"/>
      <c r="M4" s="45"/>
      <c r="N4" s="45"/>
      <c r="O4" s="45" t="s">
        <v>28</v>
      </c>
      <c r="P4" s="53"/>
      <c r="Q4" s="45" t="s">
        <v>44</v>
      </c>
      <c r="R4" s="56" t="s">
        <v>45</v>
      </c>
      <c r="S4" s="56"/>
      <c r="T4" s="56"/>
      <c r="U4" s="56"/>
      <c r="V4" s="56" t="s">
        <v>46</v>
      </c>
      <c r="W4" s="56"/>
      <c r="X4" s="56"/>
      <c r="Y4" s="56"/>
      <c r="Z4" s="56" t="s">
        <v>47</v>
      </c>
      <c r="AA4" s="56"/>
      <c r="AB4" s="56"/>
      <c r="AC4" s="56"/>
      <c r="AD4" s="56" t="s">
        <v>48</v>
      </c>
      <c r="AE4" s="56"/>
      <c r="AF4" s="56"/>
      <c r="AG4" s="56"/>
      <c r="AH4" s="54"/>
      <c r="AI4" s="45" t="s">
        <v>44</v>
      </c>
      <c r="AJ4" s="57" t="s">
        <v>49</v>
      </c>
      <c r="AK4" s="57"/>
      <c r="AL4" s="57"/>
      <c r="AM4" s="57"/>
      <c r="AN4" s="57"/>
      <c r="AO4" s="57" t="s">
        <v>50</v>
      </c>
      <c r="AP4" s="57"/>
      <c r="AQ4" s="57"/>
      <c r="AR4" s="58"/>
      <c r="AS4" s="57" t="str">
        <f aca="false">"Resumo de Custos da Base "&amp;Resumo!B6</f>
        <v>Resumo de Custos da Base GUARAPUAVA</v>
      </c>
      <c r="AT4" s="57"/>
      <c r="AU4" s="57"/>
      <c r="AV4" s="57"/>
      <c r="AW4" s="57"/>
    </row>
    <row r="5" customFormat="false" ht="39.75" hidden="false" customHeight="true" outlineLevel="0" collapsed="false">
      <c r="B5" s="45"/>
      <c r="C5" s="45" t="s">
        <v>28</v>
      </c>
      <c r="D5" s="45" t="s">
        <v>51</v>
      </c>
      <c r="E5" s="45" t="s">
        <v>52</v>
      </c>
      <c r="F5" s="45" t="s">
        <v>53</v>
      </c>
      <c r="G5" s="45" t="s">
        <v>54</v>
      </c>
      <c r="H5" s="45" t="s">
        <v>55</v>
      </c>
      <c r="I5" s="45" t="s">
        <v>56</v>
      </c>
      <c r="J5" s="45" t="s">
        <v>57</v>
      </c>
      <c r="K5" s="45" t="s">
        <v>58</v>
      </c>
      <c r="L5" s="45" t="s">
        <v>59</v>
      </c>
      <c r="M5" s="45" t="s">
        <v>60</v>
      </c>
      <c r="N5" s="45" t="s">
        <v>61</v>
      </c>
      <c r="O5" s="45"/>
      <c r="P5" s="53"/>
      <c r="Q5" s="45"/>
      <c r="R5" s="45" t="s">
        <v>62</v>
      </c>
      <c r="S5" s="45" t="s">
        <v>63</v>
      </c>
      <c r="T5" s="45" t="s">
        <v>64</v>
      </c>
      <c r="U5" s="45" t="s">
        <v>65</v>
      </c>
      <c r="V5" s="45" t="s">
        <v>66</v>
      </c>
      <c r="W5" s="45" t="s">
        <v>67</v>
      </c>
      <c r="X5" s="45" t="s">
        <v>68</v>
      </c>
      <c r="Y5" s="45" t="s">
        <v>69</v>
      </c>
      <c r="Z5" s="45" t="s">
        <v>70</v>
      </c>
      <c r="AA5" s="45"/>
      <c r="AB5" s="45"/>
      <c r="AC5" s="45" t="n">
        <f aca="false">N17+'Base Londrina'!N22</f>
        <v>962.35</v>
      </c>
      <c r="AD5" s="56" t="s">
        <v>62</v>
      </c>
      <c r="AE5" s="56" t="s">
        <v>63</v>
      </c>
      <c r="AF5" s="56" t="s">
        <v>64</v>
      </c>
      <c r="AG5" s="56" t="s">
        <v>65</v>
      </c>
      <c r="AH5" s="41"/>
      <c r="AI5" s="45"/>
      <c r="AJ5" s="56" t="s">
        <v>71</v>
      </c>
      <c r="AK5" s="56" t="s">
        <v>62</v>
      </c>
      <c r="AL5" s="56" t="s">
        <v>63</v>
      </c>
      <c r="AM5" s="56" t="s">
        <v>64</v>
      </c>
      <c r="AN5" s="56" t="s">
        <v>65</v>
      </c>
      <c r="AO5" s="56" t="s">
        <v>72</v>
      </c>
      <c r="AP5" s="56" t="s">
        <v>73</v>
      </c>
      <c r="AQ5" s="56" t="s">
        <v>74</v>
      </c>
      <c r="AR5" s="54"/>
      <c r="AS5" s="56" t="s">
        <v>75</v>
      </c>
      <c r="AT5" s="56" t="s">
        <v>62</v>
      </c>
      <c r="AU5" s="56" t="s">
        <v>63</v>
      </c>
      <c r="AV5" s="56" t="s">
        <v>64</v>
      </c>
      <c r="AW5" s="56" t="s">
        <v>65</v>
      </c>
    </row>
    <row r="6" customFormat="false" ht="19.5" hidden="false" customHeight="true" outlineLevel="0" collapsed="false">
      <c r="B6" s="45"/>
      <c r="C6" s="59" t="s">
        <v>76</v>
      </c>
      <c r="D6" s="59" t="n">
        <v>1</v>
      </c>
      <c r="E6" s="59" t="n">
        <v>0.35</v>
      </c>
      <c r="F6" s="59" t="n">
        <v>0.1</v>
      </c>
      <c r="G6" s="45"/>
      <c r="H6" s="59" t="n">
        <v>1</v>
      </c>
      <c r="I6" s="59" t="n">
        <v>1.2</v>
      </c>
      <c r="J6" s="59" t="n">
        <v>2</v>
      </c>
      <c r="K6" s="59" t="n">
        <v>4</v>
      </c>
      <c r="L6" s="59" t="n">
        <v>1.1</v>
      </c>
      <c r="M6" s="59" t="n">
        <v>1.1</v>
      </c>
      <c r="N6" s="45"/>
      <c r="O6" s="45"/>
      <c r="P6" s="60"/>
      <c r="Q6" s="45"/>
      <c r="R6" s="59" t="s">
        <v>77</v>
      </c>
      <c r="S6" s="59" t="s">
        <v>78</v>
      </c>
      <c r="T6" s="59" t="s">
        <v>79</v>
      </c>
      <c r="U6" s="59" t="s">
        <v>80</v>
      </c>
      <c r="V6" s="45"/>
      <c r="W6" s="45"/>
      <c r="X6" s="45"/>
      <c r="Y6" s="45"/>
      <c r="Z6" s="35" t="s">
        <v>62</v>
      </c>
      <c r="AA6" s="35" t="s">
        <v>63</v>
      </c>
      <c r="AB6" s="35" t="s">
        <v>64</v>
      </c>
      <c r="AC6" s="35" t="s">
        <v>65</v>
      </c>
      <c r="AD6" s="56"/>
      <c r="AE6" s="56"/>
      <c r="AF6" s="56"/>
      <c r="AG6" s="56"/>
      <c r="AH6" s="54"/>
      <c r="AI6" s="45"/>
      <c r="AJ6" s="56"/>
      <c r="AK6" s="56"/>
      <c r="AL6" s="56"/>
      <c r="AM6" s="56"/>
      <c r="AN6" s="56"/>
      <c r="AO6" s="56"/>
      <c r="AP6" s="56"/>
      <c r="AQ6" s="56"/>
      <c r="AR6" s="61"/>
      <c r="AS6" s="56"/>
      <c r="AT6" s="35" t="s">
        <v>77</v>
      </c>
      <c r="AU6" s="35" t="s">
        <v>78</v>
      </c>
      <c r="AV6" s="35" t="s">
        <v>79</v>
      </c>
      <c r="AW6" s="35" t="s">
        <v>80</v>
      </c>
    </row>
    <row r="7" customFormat="false" ht="15" hidden="false" customHeight="true" outlineLevel="0" collapsed="false">
      <c r="B7" s="62" t="s">
        <v>141</v>
      </c>
      <c r="C7" s="63" t="n">
        <f aca="false">VLOOKUP($B7,Unidades!$D$5:$N$29,6,FALSE())</f>
        <v>1221.73</v>
      </c>
      <c r="D7" s="63" t="n">
        <f aca="false">VLOOKUP($B7,Unidades!$D$5:$N$29,7,FALSE())</f>
        <v>748.48</v>
      </c>
      <c r="E7" s="63" t="n">
        <f aca="false">VLOOKUP($B7,Unidades!$D$5:$N$29,8,FALSE())</f>
        <v>360.75</v>
      </c>
      <c r="F7" s="63" t="n">
        <f aca="false">VLOOKUP($B7,Unidades!$D$5:$N$29,9,FALSE())</f>
        <v>112.5</v>
      </c>
      <c r="G7" s="63" t="n">
        <f aca="false">D7+$E$6*E7+$F$6*F7</f>
        <v>885.9925</v>
      </c>
      <c r="H7" s="64" t="n">
        <f aca="false">IF(G7&lt;750,1.5,IF(G7&lt;2000,2,3))</f>
        <v>2</v>
      </c>
      <c r="I7" s="64" t="n">
        <f aca="false">$I$6*H7</f>
        <v>2.4</v>
      </c>
      <c r="J7" s="64" t="str">
        <f aca="false">VLOOKUP($B7,Unidades!$D$5:$N$29,10,FALSE())</f>
        <v>NÃO</v>
      </c>
      <c r="K7" s="64" t="str">
        <f aca="false">VLOOKUP($B7,Unidades!$D$5:$N$29,11,FALSE())</f>
        <v>SIM</v>
      </c>
      <c r="L7" s="64" t="n">
        <f aca="false">$L$6*H7+(IF(J7="SIM",$J$6,0))</f>
        <v>2.2</v>
      </c>
      <c r="M7" s="64" t="n">
        <f aca="false">$M$6*H7+(IF(J7="SIM",$J$6,0))+(IF(K7="SIM",$K$6,0))</f>
        <v>6.2</v>
      </c>
      <c r="N7" s="64" t="n">
        <f aca="false">H7*12+I7*4+L7*2+M7</f>
        <v>44.2</v>
      </c>
      <c r="O7" s="65" t="n">
        <f aca="false">IF(K7="não", N7*(C$20+D$20),N7*(C$20+D$20)+(M7*E$20))</f>
        <v>3000.966</v>
      </c>
      <c r="P7" s="66"/>
      <c r="Q7" s="22" t="str">
        <f aca="false">B7</f>
        <v>APS IVAIPORÃ</v>
      </c>
      <c r="R7" s="24" t="n">
        <f aca="false">H7*($C$20+$D$20)</f>
        <v>124.26</v>
      </c>
      <c r="S7" s="24" t="n">
        <f aca="false">I7*($C$20+$D$20)</f>
        <v>149.112</v>
      </c>
      <c r="T7" s="24" t="n">
        <f aca="false">L7*($C$20+$D$20)</f>
        <v>136.686</v>
      </c>
      <c r="U7" s="24" t="n">
        <f aca="false">IF(K7="não",M7*($C$20+$D$20),M7*(C$20+D$20+E$20))</f>
        <v>640.026</v>
      </c>
      <c r="V7" s="24" t="n">
        <f aca="false">VLOOKUP(Q7,'Desl. Base Guarapuava'!$C$5:$S$17,13,FALSE())*($C$20+$D$20+$E$20*(VLOOKUP(Q7,'Desl. Base Guarapuava'!$C$5:$S$17,17,FALSE())/12))</f>
        <v>154.05425</v>
      </c>
      <c r="W7" s="24" t="n">
        <f aca="false">VLOOKUP(Q7,'Desl. Base Guarapuava'!$C$5:$Q$14,15,FALSE())*(2+(VLOOKUP(Q7,'Desl. Base Guarapuava'!$C$5:$S$14,17,FALSE())/12))</f>
        <v>0</v>
      </c>
      <c r="X7" s="24" t="n">
        <f aca="false">VLOOKUP(Q7,'Desl. Base Guarapuava'!$C$5:$Q$14,14,FALSE())</f>
        <v>0</v>
      </c>
      <c r="Y7" s="24" t="n">
        <f aca="false">VLOOKUP(Q7,'Desl. Base Guarapuava'!$C$5:Q$14,13,FALSE())*'Desl. Base Guarapuava'!$E$19+'Desl. Base Guarapuava'!$E$20*N7/12</f>
        <v>149.420666666667</v>
      </c>
      <c r="Z7" s="24" t="n">
        <f aca="false">(H7/$AC$5)*'Equipe Técnica'!$C$13</f>
        <v>387.584226113161</v>
      </c>
      <c r="AA7" s="24" t="n">
        <f aca="false">(I7/$AC$5)*'Equipe Técnica'!$C$13</f>
        <v>465.101071335793</v>
      </c>
      <c r="AB7" s="24" t="n">
        <f aca="false">(L7/$AC$5)*'Equipe Técnica'!$C$13</f>
        <v>426.342648724477</v>
      </c>
      <c r="AC7" s="24" t="n">
        <f aca="false">(M7/$AC$5)*'Equipe Técnica'!$C$13</f>
        <v>1201.5111009508</v>
      </c>
      <c r="AD7" s="24" t="n">
        <f aca="false">R7+(($V7+$W7+$X7+$Y7)*12/19)+$Z7</f>
        <v>703.512594534213</v>
      </c>
      <c r="AE7" s="24" t="n">
        <f aca="false">S7+(($V7+$W7+$X7+$Y7)*12/19)+$AA7</f>
        <v>805.881439756845</v>
      </c>
      <c r="AF7" s="24" t="n">
        <f aca="false">T7+(($V7+$W7+$X7+$Y7)*12/19)+$AB7</f>
        <v>754.697017145529</v>
      </c>
      <c r="AG7" s="24" t="n">
        <f aca="false">U7+(($V7+$W7+$X7+$Y7)*12/19)+$AC7</f>
        <v>2033.20546937185</v>
      </c>
      <c r="AH7" s="134"/>
      <c r="AI7" s="22" t="str">
        <f aca="false">B7</f>
        <v>APS IVAIPORÃ</v>
      </c>
      <c r="AJ7" s="67" t="n">
        <f aca="false">VLOOKUP(AI7,Unidades!D$5:H$29,5,)</f>
        <v>0.2624</v>
      </c>
      <c r="AK7" s="46" t="n">
        <f aca="false">AD7*(1+$AJ7)</f>
        <v>888.114299339991</v>
      </c>
      <c r="AL7" s="46" t="n">
        <f aca="false">AE7*(1+$AJ7)</f>
        <v>1017.34472954904</v>
      </c>
      <c r="AM7" s="46" t="n">
        <f aca="false">AF7*(1+$AJ7)</f>
        <v>952.729514444516</v>
      </c>
      <c r="AN7" s="46" t="n">
        <f aca="false">AG7*(1+$AJ7)</f>
        <v>2566.71858453502</v>
      </c>
      <c r="AO7" s="46" t="n">
        <f aca="false">((AK7*12)+(AL7*4)+(AM7*2)+AN7)/12</f>
        <v>1599.91067697501</v>
      </c>
      <c r="AP7" s="46" t="n">
        <f aca="false">AO7*3</f>
        <v>4799.73203092503</v>
      </c>
      <c r="AQ7" s="46" t="n">
        <f aca="false">AO7+AP7</f>
        <v>6399.64270790004</v>
      </c>
      <c r="AR7" s="68"/>
      <c r="AS7" s="69" t="s">
        <v>82</v>
      </c>
      <c r="AT7" s="46" t="n">
        <f aca="false">AK17</f>
        <v>8993.502875325</v>
      </c>
      <c r="AU7" s="46" t="n">
        <f aca="false">AL17</f>
        <v>10147.8267701611</v>
      </c>
      <c r="AV7" s="46" t="n">
        <f aca="false">AM17</f>
        <v>10862.9691248335</v>
      </c>
      <c r="AW7" s="46" t="n">
        <f aca="false">AN17</f>
        <v>15969.5479991051</v>
      </c>
    </row>
    <row r="8" customFormat="false" ht="15" hidden="false" customHeight="true" outlineLevel="0" collapsed="false">
      <c r="B8" s="62" t="s">
        <v>142</v>
      </c>
      <c r="C8" s="63" t="n">
        <f aca="false">VLOOKUP($B8,Unidades!$D$5:$N$29,6,FALSE())</f>
        <v>2915</v>
      </c>
      <c r="D8" s="63" t="n">
        <f aca="false">VLOOKUP($B8,Unidades!$D$5:$N$29,7,FALSE())</f>
        <v>1100</v>
      </c>
      <c r="E8" s="63" t="n">
        <f aca="false">VLOOKUP($B8,Unidades!$D$5:$N$29,8,FALSE())</f>
        <v>1715</v>
      </c>
      <c r="F8" s="63" t="n">
        <f aca="false">VLOOKUP($B8,Unidades!$D$5:$N$29,9,FALSE())</f>
        <v>100</v>
      </c>
      <c r="G8" s="63" t="n">
        <f aca="false">D8+$E$6*E8+$F$6*F8</f>
        <v>1710.25</v>
      </c>
      <c r="H8" s="64" t="n">
        <f aca="false">IF(G8&lt;750,1.5,IF(G8&lt;2000,2,3))</f>
        <v>2</v>
      </c>
      <c r="I8" s="64" t="n">
        <f aca="false">$I$6*H8</f>
        <v>2.4</v>
      </c>
      <c r="J8" s="64" t="str">
        <f aca="false">VLOOKUP($B8,Unidades!$D$5:$N$29,10,FALSE())</f>
        <v>SIM</v>
      </c>
      <c r="K8" s="64" t="str">
        <f aca="false">VLOOKUP($B8,Unidades!$D$5:$N$29,11,FALSE())</f>
        <v>SIM</v>
      </c>
      <c r="L8" s="64" t="n">
        <f aca="false">$L$6*H8+(IF(J8="SIM",$J$6,0))</f>
        <v>4.2</v>
      </c>
      <c r="M8" s="64" t="n">
        <f aca="false">$M$6*H8+(IF(J8="SIM",$J$6,0))+(IF(K8="SIM",$K$6,0))</f>
        <v>8.2</v>
      </c>
      <c r="N8" s="64" t="n">
        <f aca="false">H8*12+I8*4+L8*2+M8</f>
        <v>50.2</v>
      </c>
      <c r="O8" s="65" t="n">
        <f aca="false">IF(K8="não", N8*(C$20+D$20),N8*(C$20+D$20)+(M8*E$20))</f>
        <v>3455.946</v>
      </c>
      <c r="P8" s="66"/>
      <c r="Q8" s="22" t="str">
        <f aca="false">B8</f>
        <v>APS GUARAPUAVA</v>
      </c>
      <c r="R8" s="24" t="n">
        <f aca="false">H8*($C$20+$D$20)</f>
        <v>124.26</v>
      </c>
      <c r="S8" s="24" t="n">
        <f aca="false">I8*($C$20+$D$20)</f>
        <v>149.112</v>
      </c>
      <c r="T8" s="24" t="n">
        <f aca="false">L8*($C$20+$D$20)</f>
        <v>260.946</v>
      </c>
      <c r="U8" s="24" t="n">
        <f aca="false">IF(K8="não",M8*($C$20+$D$20),M8*(C$20+D$20+E$20))</f>
        <v>846.486</v>
      </c>
      <c r="V8" s="24" t="n">
        <f aca="false">VLOOKUP(Q8,'Desl. Base Guarapuava'!$C$5:$S$17,13,FALSE())*($C$20+$D$20+$E$20*(VLOOKUP(Q8,'Desl. Base Guarapuava'!$C$5:$S$17,17,FALSE())/12))</f>
        <v>0</v>
      </c>
      <c r="W8" s="24" t="n">
        <f aca="false">VLOOKUP(Q8,'Desl. Base Guarapuava'!$C$5:$Q$14,15,FALSE())*(2+(VLOOKUP(Q8,'Desl. Base Guarapuava'!$C$5:$S$14,17,FALSE())/12))</f>
        <v>0</v>
      </c>
      <c r="X8" s="24" t="n">
        <f aca="false">VLOOKUP(Q8,'Desl. Base Guarapuava'!$C$5:$Q$14,14,FALSE())</f>
        <v>0</v>
      </c>
      <c r="Y8" s="24" t="n">
        <f aca="false">VLOOKUP(Q8,'Desl. Base Guarapuava'!$C$5:Q$14,13,FALSE())*'Desl. Base Guarapuava'!$E$19+'Desl. Base Guarapuava'!$E$20*N8/12</f>
        <v>29.0741666666667</v>
      </c>
      <c r="Z8" s="24" t="n">
        <f aca="false">(H8/$AC$5)*'Equipe Técnica'!$C$13</f>
        <v>387.584226113161</v>
      </c>
      <c r="AA8" s="24" t="n">
        <f aca="false">(I8/$AC$5)*'Equipe Técnica'!$C$13</f>
        <v>465.101071335793</v>
      </c>
      <c r="AB8" s="24" t="n">
        <f aca="false">(L8/$AC$5)*'Equipe Técnica'!$C$13</f>
        <v>813.926874837637</v>
      </c>
      <c r="AC8" s="24" t="n">
        <f aca="false">(M8/$AC$5)*'Equipe Técnica'!$C$13</f>
        <v>1589.09532706396</v>
      </c>
      <c r="AD8" s="24" t="n">
        <f aca="false">R8+(($V8+$W8+$X8+$Y8)*12/19)+$Z8</f>
        <v>530.206857692108</v>
      </c>
      <c r="AE8" s="24" t="n">
        <f aca="false">S8+(($V8+$W8+$X8+$Y8)*12/19)+$AA8</f>
        <v>632.57570291474</v>
      </c>
      <c r="AF8" s="24" t="n">
        <f aca="false">T8+(($V8+$W8+$X8+$Y8)*12/19)+$AB8</f>
        <v>1093.23550641658</v>
      </c>
      <c r="AG8" s="24" t="n">
        <f aca="false">U8+(($V8+$W8+$X8+$Y8)*12/19)+$AC8</f>
        <v>2453.94395864291</v>
      </c>
      <c r="AH8" s="134"/>
      <c r="AI8" s="22" t="str">
        <f aca="false">B8</f>
        <v>APS GUARAPUAVA</v>
      </c>
      <c r="AJ8" s="67" t="n">
        <f aca="false">VLOOKUP(AI8,Unidades!D$5:H$29,5,)</f>
        <v>0.2624</v>
      </c>
      <c r="AK8" s="46" t="n">
        <f aca="false">AD8*(1+$AJ8)</f>
        <v>669.333137150517</v>
      </c>
      <c r="AL8" s="46" t="n">
        <f aca="false">AE8*(1+$AJ8)</f>
        <v>798.563567359568</v>
      </c>
      <c r="AM8" s="46" t="n">
        <f aca="false">AF8*(1+$AJ8)</f>
        <v>1380.1005033003</v>
      </c>
      <c r="AN8" s="46" t="n">
        <f aca="false">AG8*(1+$AJ8)</f>
        <v>3097.8588533908</v>
      </c>
      <c r="AO8" s="46" t="n">
        <f aca="false">((AK8*12)+(AL8*4)+(AM8*2)+AN8)/12</f>
        <v>1423.69264793632</v>
      </c>
      <c r="AP8" s="46" t="n">
        <f aca="false">AO8*3</f>
        <v>4271.07794380897</v>
      </c>
      <c r="AQ8" s="46" t="n">
        <f aca="false">AO8+AP8</f>
        <v>5694.77059174529</v>
      </c>
      <c r="AR8" s="68"/>
      <c r="AS8" s="69" t="s">
        <v>84</v>
      </c>
      <c r="AT8" s="46" t="n">
        <f aca="false">AT7*12</f>
        <v>107922.0345039</v>
      </c>
      <c r="AU8" s="46" t="n">
        <f aca="false">AU7*4</f>
        <v>40591.3070806442</v>
      </c>
      <c r="AV8" s="46" t="n">
        <f aca="false">AV7*2</f>
        <v>21725.9382496671</v>
      </c>
      <c r="AW8" s="46" t="n">
        <f aca="false">AW7</f>
        <v>15969.5479991051</v>
      </c>
    </row>
    <row r="9" customFormat="false" ht="15" hidden="false" customHeight="true" outlineLevel="0" collapsed="false">
      <c r="B9" s="62" t="s">
        <v>143</v>
      </c>
      <c r="C9" s="63" t="n">
        <f aca="false">VLOOKUP($B9,Unidades!$D$5:$N$29,6,FALSE())</f>
        <v>480</v>
      </c>
      <c r="D9" s="63" t="n">
        <f aca="false">VLOOKUP($B9,Unidades!$D$5:$N$29,7,FALSE())</f>
        <v>480</v>
      </c>
      <c r="E9" s="63" t="n">
        <f aca="false">VLOOKUP($B9,Unidades!$D$5:$N$29,8,FALSE())</f>
        <v>0</v>
      </c>
      <c r="F9" s="63" t="n">
        <f aca="false">VLOOKUP($B9,Unidades!$D$5:$N$29,9,FALSE())</f>
        <v>0</v>
      </c>
      <c r="G9" s="63" t="n">
        <f aca="false">D9+$E$6*E9+$F$6*F9</f>
        <v>480</v>
      </c>
      <c r="H9" s="64" t="n">
        <f aca="false">IF(G9&lt;750,1.5,IF(G9&lt;2000,2,3))</f>
        <v>1.5</v>
      </c>
      <c r="I9" s="64" t="n">
        <f aca="false">$I$6*H9</f>
        <v>1.8</v>
      </c>
      <c r="J9" s="64" t="str">
        <f aca="false">VLOOKUP($B9,Unidades!$D$5:$N$29,10,FALSE())</f>
        <v>NÃO</v>
      </c>
      <c r="K9" s="64" t="str">
        <f aca="false">VLOOKUP($B9,Unidades!$D$5:$N$29,11,FALSE())</f>
        <v>NÃO</v>
      </c>
      <c r="L9" s="64" t="n">
        <f aca="false">$L$6*H9+(IF(J9="SIM",$J$6,0))</f>
        <v>1.65</v>
      </c>
      <c r="M9" s="64" t="n">
        <f aca="false">$M$6*H9+(IF(J9="SIM",$J$6,0))+(IF(K9="SIM",$K$6,0))</f>
        <v>1.65</v>
      </c>
      <c r="N9" s="64" t="n">
        <f aca="false">H9*12+I9*4+L9*2+M9</f>
        <v>30.15</v>
      </c>
      <c r="O9" s="65" t="n">
        <f aca="false">IF(K9="não", N9*(C$20+D$20),N9*(C$20+D$20)+(M9*E$20))</f>
        <v>1873.2195</v>
      </c>
      <c r="P9" s="66"/>
      <c r="Q9" s="22" t="str">
        <f aca="false">B9</f>
        <v>APS LARANJEIRAS DO SUL</v>
      </c>
      <c r="R9" s="24" t="n">
        <f aca="false">H9*($C$20+$D$20)</f>
        <v>93.195</v>
      </c>
      <c r="S9" s="24" t="n">
        <f aca="false">I9*($C$20+$D$20)</f>
        <v>111.834</v>
      </c>
      <c r="T9" s="24" t="n">
        <f aca="false">L9*($C$20+$D$20)</f>
        <v>102.5145</v>
      </c>
      <c r="U9" s="24" t="n">
        <f aca="false">IF(K9="não",M9*($C$20+$D$20),M9*(C$20+D$20+E$20))</f>
        <v>102.5145</v>
      </c>
      <c r="V9" s="24" t="n">
        <f aca="false">VLOOKUP(Q9,'Desl. Base Guarapuava'!$C$5:$S$17,13,FALSE())*($C$20+$D$20+$E$20*(VLOOKUP(Q9,'Desl. Base Guarapuava'!$C$5:$S$17,17,FALSE())/12))</f>
        <v>133.06175</v>
      </c>
      <c r="W9" s="24" t="n">
        <f aca="false">VLOOKUP(Q9,'Desl. Base Guarapuava'!$C$5:$Q$14,15,FALSE())*(2+(VLOOKUP(Q9,'Desl. Base Guarapuava'!$C$5:$S$14,17,FALSE())/12))</f>
        <v>0</v>
      </c>
      <c r="X9" s="24" t="n">
        <f aca="false">VLOOKUP(Q9,'Desl. Base Guarapuava'!$C$5:$Q$14,14,FALSE())</f>
        <v>0</v>
      </c>
      <c r="Y9" s="24" t="n">
        <f aca="false">VLOOKUP(Q9,'Desl. Base Guarapuava'!$C$5:Q$14,13,FALSE())*'Desl. Base Guarapuava'!$E$19+'Desl. Base Guarapuava'!$E$20*N9/12</f>
        <v>130.306291666667</v>
      </c>
      <c r="Z9" s="24" t="n">
        <f aca="false">(H9/$AC$5)*'Equipe Técnica'!$C$13</f>
        <v>290.68816958487</v>
      </c>
      <c r="AA9" s="24" t="n">
        <f aca="false">(I9/$AC$5)*'Equipe Técnica'!$C$13</f>
        <v>348.825803501844</v>
      </c>
      <c r="AB9" s="24" t="n">
        <f aca="false">(L9/$AC$5)*'Equipe Técnica'!$C$13</f>
        <v>319.756986543357</v>
      </c>
      <c r="AC9" s="24" t="n">
        <f aca="false">(M9/$AC$5)*'Equipe Técnica'!$C$13</f>
        <v>319.756986543357</v>
      </c>
      <c r="AD9" s="24" t="n">
        <f aca="false">R9+(($V9+$W9+$X9+$Y9)*12/19)+$Z9</f>
        <v>550.220880111186</v>
      </c>
      <c r="AE9" s="24" t="n">
        <f aca="false">S9+(($V9+$W9+$X9+$Y9)*12/19)+$AA9</f>
        <v>626.99751402816</v>
      </c>
      <c r="AF9" s="24" t="n">
        <f aca="false">T9+(($V9+$W9+$X9+$Y9)*12/19)+$AB9</f>
        <v>588.609197069673</v>
      </c>
      <c r="AG9" s="24" t="n">
        <f aca="false">U9+(($V9+$W9+$X9+$Y9)*12/19)+$AC9</f>
        <v>588.609197069673</v>
      </c>
      <c r="AH9" s="134"/>
      <c r="AI9" s="22" t="str">
        <f aca="false">B9</f>
        <v>APS LARANJEIRAS DO SUL</v>
      </c>
      <c r="AJ9" s="67" t="n">
        <f aca="false">VLOOKUP(AI9,Unidades!D$5:H$29,5,)</f>
        <v>0.2624</v>
      </c>
      <c r="AK9" s="46" t="n">
        <f aca="false">AD9*(1+$AJ9)</f>
        <v>694.598839052361</v>
      </c>
      <c r="AL9" s="46" t="n">
        <f aca="false">AE9*(1+$AJ9)</f>
        <v>791.52166170915</v>
      </c>
      <c r="AM9" s="46" t="n">
        <f aca="false">AF9*(1+$AJ9)</f>
        <v>743.060250380756</v>
      </c>
      <c r="AN9" s="46" t="n">
        <f aca="false">AG9*(1+$AJ9)</f>
        <v>743.060250380756</v>
      </c>
      <c r="AO9" s="46" t="n">
        <f aca="false">((AK9*12)+(AL9*4)+(AM9*2)+AN9)/12</f>
        <v>1144.2044555506</v>
      </c>
      <c r="AP9" s="46" t="n">
        <f aca="false">AO9*3</f>
        <v>3432.6133666518</v>
      </c>
      <c r="AQ9" s="46" t="n">
        <f aca="false">AO9+AP9</f>
        <v>4576.8178222024</v>
      </c>
      <c r="AR9" s="68"/>
      <c r="AS9" s="68"/>
      <c r="AT9" s="70"/>
      <c r="AU9" s="70"/>
      <c r="AV9" s="70"/>
      <c r="AW9" s="70"/>
    </row>
    <row r="10" customFormat="false" ht="15" hidden="false" customHeight="true" outlineLevel="0" collapsed="false">
      <c r="B10" s="62" t="s">
        <v>144</v>
      </c>
      <c r="C10" s="63" t="n">
        <f aca="false">VLOOKUP($B10,Unidades!$D$5:$N$29,6,FALSE())</f>
        <v>334.4</v>
      </c>
      <c r="D10" s="63" t="n">
        <f aca="false">VLOOKUP($B10,Unidades!$D$5:$N$29,7,FALSE())</f>
        <v>296</v>
      </c>
      <c r="E10" s="63" t="n">
        <f aca="false">VLOOKUP($B10,Unidades!$D$5:$N$29,8,FALSE())</f>
        <v>38.4</v>
      </c>
      <c r="F10" s="63" t="n">
        <f aca="false">VLOOKUP($B10,Unidades!$D$5:$N$29,9,FALSE())</f>
        <v>0</v>
      </c>
      <c r="G10" s="63" t="n">
        <f aca="false">D10+$E$6*E10+$F$6*F10</f>
        <v>309.44</v>
      </c>
      <c r="H10" s="64" t="n">
        <f aca="false">IF(G10&lt;750,1.5,IF(G10&lt;2000,2,3))</f>
        <v>1.5</v>
      </c>
      <c r="I10" s="64" t="n">
        <f aca="false">$I$6*H10</f>
        <v>1.8</v>
      </c>
      <c r="J10" s="64" t="str">
        <f aca="false">VLOOKUP($B10,Unidades!$D$5:$N$29,10,FALSE())</f>
        <v>NÃO</v>
      </c>
      <c r="K10" s="64" t="str">
        <f aca="false">VLOOKUP($B10,Unidades!$D$5:$N$29,11,FALSE())</f>
        <v>NÃO</v>
      </c>
      <c r="L10" s="64" t="n">
        <f aca="false">$L$6*H10+(IF(J10="SIM",$J$6,0))</f>
        <v>1.65</v>
      </c>
      <c r="M10" s="64" t="n">
        <f aca="false">$M$6*H10+(IF(J10="SIM",$J$6,0))+(IF(K10="SIM",$K$6,0))</f>
        <v>1.65</v>
      </c>
      <c r="N10" s="64" t="n">
        <f aca="false">H10*12+I10*4+L10*2+M10</f>
        <v>30.15</v>
      </c>
      <c r="O10" s="65" t="n">
        <f aca="false">IF(K10="não", N10*(C$20+D$20),N10*(C$20+D$20)+(M10*E$20))</f>
        <v>1873.2195</v>
      </c>
      <c r="P10" s="66"/>
      <c r="Q10" s="22" t="str">
        <f aca="false">B10</f>
        <v>APS PINHÃO</v>
      </c>
      <c r="R10" s="24" t="n">
        <f aca="false">H10*($C$20+$D$20)</f>
        <v>93.195</v>
      </c>
      <c r="S10" s="24" t="n">
        <f aca="false">I10*($C$20+$D$20)</f>
        <v>111.834</v>
      </c>
      <c r="T10" s="24" t="n">
        <f aca="false">L10*($C$20+$D$20)</f>
        <v>102.5145</v>
      </c>
      <c r="U10" s="24" t="n">
        <f aca="false">IF(K10="não",M10*($C$20+$D$20),M10*(C$20+D$20+E$20))</f>
        <v>102.5145</v>
      </c>
      <c r="V10" s="24" t="n">
        <f aca="false">VLOOKUP(Q10,'Desl. Base Guarapuava'!$C$5:$S$17,13,FALSE())*($C$20+$D$20+$E$20*(VLOOKUP(Q10,'Desl. Base Guarapuava'!$C$5:$S$17,17,FALSE())/12))</f>
        <v>133.06175</v>
      </c>
      <c r="W10" s="24" t="n">
        <f aca="false">VLOOKUP(Q10,'Desl. Base Guarapuava'!$C$5:$Q$14,15,FALSE())*(2+(VLOOKUP(Q10,'Desl. Base Guarapuava'!$C$5:$S$14,17,FALSE())/12))</f>
        <v>0</v>
      </c>
      <c r="X10" s="24" t="n">
        <f aca="false">VLOOKUP(Q10,'Desl. Base Guarapuava'!$C$5:$Q$14,14,FALSE())</f>
        <v>0</v>
      </c>
      <c r="Y10" s="24" t="n">
        <f aca="false">VLOOKUP(Q10,'Desl. Base Guarapuava'!$C$5:Q$14,13,FALSE())*'Desl. Base Guarapuava'!$E$19+'Desl. Base Guarapuava'!$E$20*N10/12</f>
        <v>130.306291666667</v>
      </c>
      <c r="Z10" s="24" t="n">
        <f aca="false">(H10/$AC$5)*'Equipe Técnica'!$C$13</f>
        <v>290.68816958487</v>
      </c>
      <c r="AA10" s="24" t="n">
        <f aca="false">(I10/$AC$5)*'Equipe Técnica'!$C$13</f>
        <v>348.825803501844</v>
      </c>
      <c r="AB10" s="24" t="n">
        <f aca="false">(L10/$AC$5)*'Equipe Técnica'!$C$13</f>
        <v>319.756986543357</v>
      </c>
      <c r="AC10" s="24" t="n">
        <f aca="false">(M10/$AC$5)*'Equipe Técnica'!$C$13</f>
        <v>319.756986543357</v>
      </c>
      <c r="AD10" s="24" t="n">
        <f aca="false">R10+(($V10+$W10+$X10+$Y10)*12/19)+$Z10</f>
        <v>550.220880111186</v>
      </c>
      <c r="AE10" s="24" t="n">
        <f aca="false">S10+(($V10+$W10+$X10+$Y10)*12/19)+$AA10</f>
        <v>626.99751402816</v>
      </c>
      <c r="AF10" s="24" t="n">
        <f aca="false">T10+(($V10+$W10+$X10+$Y10)*12/19)+$AB10</f>
        <v>588.609197069673</v>
      </c>
      <c r="AG10" s="24" t="n">
        <f aca="false">U10+(($V10+$W10+$X10+$Y10)*12/19)+$AC10</f>
        <v>588.609197069673</v>
      </c>
      <c r="AH10" s="134"/>
      <c r="AI10" s="22" t="str">
        <f aca="false">B10</f>
        <v>APS PINHÃO</v>
      </c>
      <c r="AJ10" s="67" t="n">
        <f aca="false">VLOOKUP(AI10,Unidades!D$5:H$29,5,)</f>
        <v>0.2624</v>
      </c>
      <c r="AK10" s="46" t="n">
        <f aca="false">AD10*(1+$AJ10)</f>
        <v>694.598839052361</v>
      </c>
      <c r="AL10" s="46" t="n">
        <f aca="false">AE10*(1+$AJ10)</f>
        <v>791.52166170915</v>
      </c>
      <c r="AM10" s="46" t="n">
        <f aca="false">AF10*(1+$AJ10)</f>
        <v>743.060250380756</v>
      </c>
      <c r="AN10" s="46" t="n">
        <f aca="false">AG10*(1+$AJ10)</f>
        <v>743.060250380756</v>
      </c>
      <c r="AO10" s="46" t="n">
        <f aca="false">((AK10*12)+(AL10*4)+(AM10*2)+AN10)/12</f>
        <v>1144.2044555506</v>
      </c>
      <c r="AP10" s="46" t="n">
        <f aca="false">AO10*3</f>
        <v>3432.6133666518</v>
      </c>
      <c r="AQ10" s="46" t="n">
        <f aca="false">AO10+AP10</f>
        <v>4576.8178222024</v>
      </c>
      <c r="AR10" s="68"/>
      <c r="AS10" s="71" t="s">
        <v>72</v>
      </c>
      <c r="AT10" s="46" t="n">
        <f aca="false">(SUM(AT8:AW8))/12</f>
        <v>15517.402319443</v>
      </c>
      <c r="AU10" s="46"/>
      <c r="AV10" s="70"/>
      <c r="AW10" s="70"/>
    </row>
    <row r="11" customFormat="false" ht="15" hidden="false" customHeight="true" outlineLevel="0" collapsed="false">
      <c r="B11" s="62" t="s">
        <v>145</v>
      </c>
      <c r="C11" s="63" t="n">
        <f aca="false">VLOOKUP($B11,Unidades!$D$5:$N$29,6,FALSE())</f>
        <v>312.92</v>
      </c>
      <c r="D11" s="63" t="n">
        <f aca="false">VLOOKUP($B11,Unidades!$D$5:$N$29,7,FALSE())</f>
        <v>312.92</v>
      </c>
      <c r="E11" s="63" t="n">
        <f aca="false">VLOOKUP($B11,Unidades!$D$5:$N$29,8,FALSE())</f>
        <v>0</v>
      </c>
      <c r="F11" s="63" t="n">
        <f aca="false">VLOOKUP($B11,Unidades!$D$5:$N$29,9,FALSE())</f>
        <v>0</v>
      </c>
      <c r="G11" s="63" t="n">
        <f aca="false">D11+$E$6*E11+$F$6*F11</f>
        <v>312.92</v>
      </c>
      <c r="H11" s="64" t="n">
        <f aca="false">IF(G11&lt;750,1.5,IF(G11&lt;2000,2,3))</f>
        <v>1.5</v>
      </c>
      <c r="I11" s="64" t="n">
        <f aca="false">$I$6*H11</f>
        <v>1.8</v>
      </c>
      <c r="J11" s="64" t="str">
        <f aca="false">VLOOKUP($B11,Unidades!$D$5:$N$29,10,FALSE())</f>
        <v>NÃO</v>
      </c>
      <c r="K11" s="64" t="str">
        <f aca="false">VLOOKUP($B11,Unidades!$D$5:$N$29,11,FALSE())</f>
        <v>NÃO</v>
      </c>
      <c r="L11" s="64" t="n">
        <f aca="false">$L$6*H11+(IF(J11="SIM",$J$6,0))</f>
        <v>1.65</v>
      </c>
      <c r="M11" s="64" t="n">
        <f aca="false">$M$6*H11+(IF(J11="SIM",$J$6,0))+(IF(K11="SIM",$K$6,0))</f>
        <v>1.65</v>
      </c>
      <c r="N11" s="64" t="n">
        <f aca="false">H11*12+I11*4+L11*2+M11</f>
        <v>30.15</v>
      </c>
      <c r="O11" s="65" t="n">
        <f aca="false">IF(K11="não", N11*(C$20+D$20),N11*(C$20+D$20)+(M11*E$20))</f>
        <v>1873.2195</v>
      </c>
      <c r="P11" s="66"/>
      <c r="Q11" s="22" t="str">
        <f aca="false">B11</f>
        <v>APS PITANGA</v>
      </c>
      <c r="R11" s="24" t="n">
        <f aca="false">H11*($C$20+$D$20)</f>
        <v>93.195</v>
      </c>
      <c r="S11" s="24" t="n">
        <f aca="false">I11*($C$20+$D$20)</f>
        <v>111.834</v>
      </c>
      <c r="T11" s="24" t="n">
        <f aca="false">L11*($C$20+$D$20)</f>
        <v>102.5145</v>
      </c>
      <c r="U11" s="24" t="n">
        <f aca="false">IF(K11="não",M11*($C$20+$D$20),M11*(C$20+D$20+E$20))</f>
        <v>102.5145</v>
      </c>
      <c r="V11" s="24" t="n">
        <f aca="false">VLOOKUP(Q11,'Desl. Base Guarapuava'!$C$5:$S$17,13,FALSE())*($C$20+$D$20+$E$20*(VLOOKUP(Q11,'Desl. Base Guarapuava'!$C$5:$S$17,17,FALSE())/12))</f>
        <v>154.05425</v>
      </c>
      <c r="W11" s="24" t="n">
        <f aca="false">VLOOKUP(Q11,'Desl. Base Guarapuava'!$C$5:$Q$14,15,FALSE())*(2+(VLOOKUP(Q11,'Desl. Base Guarapuava'!$C$5:$S$14,17,FALSE())/12))</f>
        <v>0</v>
      </c>
      <c r="X11" s="24" t="n">
        <f aca="false">VLOOKUP(Q11,'Desl. Base Guarapuava'!$C$5:$Q$14,14,FALSE())</f>
        <v>0</v>
      </c>
      <c r="Y11" s="24" t="n">
        <f aca="false">VLOOKUP(Q11,'Desl. Base Guarapuava'!$C$5:Q$14,13,FALSE())*'Desl. Base Guarapuava'!$E$19+'Desl. Base Guarapuava'!$E$20*N11/12</f>
        <v>141.283375</v>
      </c>
      <c r="Z11" s="24" t="n">
        <f aca="false">(H11/$AC$5)*'Equipe Técnica'!$C$13</f>
        <v>290.68816958487</v>
      </c>
      <c r="AA11" s="24" t="n">
        <f aca="false">(I11/$AC$5)*'Equipe Técnica'!$C$13</f>
        <v>348.825803501844</v>
      </c>
      <c r="AB11" s="24" t="n">
        <f aca="false">(L11/$AC$5)*'Equipe Técnica'!$C$13</f>
        <v>319.756986543357</v>
      </c>
      <c r="AC11" s="24" t="n">
        <f aca="false">(M11/$AC$5)*'Equipe Técnica'!$C$13</f>
        <v>319.756986543357</v>
      </c>
      <c r="AD11" s="24" t="n">
        <f aca="false">R11+(($V11+$W11+$X11+$Y11)*12/19)+$Z11</f>
        <v>570.41219590066</v>
      </c>
      <c r="AE11" s="24" t="n">
        <f aca="false">S11+(($V11+$W11+$X11+$Y11)*12/19)+$AA11</f>
        <v>647.188829817634</v>
      </c>
      <c r="AF11" s="24" t="n">
        <f aca="false">T11+(($V11+$W11+$X11+$Y11)*12/19)+$AB11</f>
        <v>608.800512859147</v>
      </c>
      <c r="AG11" s="24" t="n">
        <f aca="false">U11+(($V11+$W11+$X11+$Y11)*12/19)+$AC11</f>
        <v>608.800512859147</v>
      </c>
      <c r="AH11" s="134"/>
      <c r="AI11" s="22" t="str">
        <f aca="false">B11</f>
        <v>APS PITANGA</v>
      </c>
      <c r="AJ11" s="67" t="n">
        <f aca="false">VLOOKUP(AI11,Unidades!D$5:H$29,5,)</f>
        <v>0.242</v>
      </c>
      <c r="AK11" s="46" t="n">
        <f aca="false">AD11*(1+$AJ11)</f>
        <v>708.45194730862</v>
      </c>
      <c r="AL11" s="46" t="n">
        <f aca="false">AE11*(1+$AJ11)</f>
        <v>803.808526633501</v>
      </c>
      <c r="AM11" s="46" t="n">
        <f aca="false">AF11*(1+$AJ11)</f>
        <v>756.130236971061</v>
      </c>
      <c r="AN11" s="46" t="n">
        <f aca="false">AG11*(1+$AJ11)</f>
        <v>756.130236971061</v>
      </c>
      <c r="AO11" s="46" t="n">
        <f aca="false">((AK11*12)+(AL11*4)+(AM11*2)+AN11)/12</f>
        <v>1165.42068209589</v>
      </c>
      <c r="AP11" s="46" t="n">
        <f aca="false">AO11*3</f>
        <v>3496.26204628766</v>
      </c>
      <c r="AQ11" s="46" t="n">
        <f aca="false">AO11+AP11</f>
        <v>4661.68272838354</v>
      </c>
      <c r="AR11" s="68"/>
      <c r="AS11" s="71" t="s">
        <v>88</v>
      </c>
      <c r="AT11" s="46" t="n">
        <f aca="false">AT10*12</f>
        <v>186208.827833316</v>
      </c>
      <c r="AU11" s="46"/>
      <c r="AV11" s="70"/>
      <c r="AW11" s="70"/>
    </row>
    <row r="12" customFormat="false" ht="15" hidden="false" customHeight="true" outlineLevel="0" collapsed="false">
      <c r="B12" s="62" t="s">
        <v>146</v>
      </c>
      <c r="C12" s="63" t="n">
        <f aca="false">VLOOKUP($B12,Unidades!$D$5:$N$29,6,FALSE())</f>
        <v>2820.21</v>
      </c>
      <c r="D12" s="63" t="n">
        <f aca="false">VLOOKUP($B12,Unidades!$D$5:$N$29,7,FALSE())</f>
        <v>2820.21</v>
      </c>
      <c r="E12" s="63" t="n">
        <f aca="false">VLOOKUP($B12,Unidades!$D$5:$N$29,8,FALSE())</f>
        <v>0</v>
      </c>
      <c r="F12" s="63" t="n">
        <f aca="false">VLOOKUP($B12,Unidades!$D$5:$N$29,9,FALSE())</f>
        <v>0</v>
      </c>
      <c r="G12" s="63" t="n">
        <f aca="false">D12+$E$6*E12+$F$6*F12</f>
        <v>2820.21</v>
      </c>
      <c r="H12" s="64" t="n">
        <f aca="false">IF(G12&lt;750,1.5,IF(G12&lt;2000,2,3))</f>
        <v>3</v>
      </c>
      <c r="I12" s="64" t="n">
        <f aca="false">$I$6*H12</f>
        <v>3.6</v>
      </c>
      <c r="J12" s="64" t="str">
        <f aca="false">VLOOKUP($B12,Unidades!$D$5:$N$29,10,FALSE())</f>
        <v>SIM</v>
      </c>
      <c r="K12" s="64" t="str">
        <f aca="false">VLOOKUP($B12,Unidades!$D$5:$N$29,11,FALSE())</f>
        <v>SIM</v>
      </c>
      <c r="L12" s="64" t="n">
        <f aca="false">$L$6*H12+(IF(J12="SIM",$J$6,0))</f>
        <v>5.3</v>
      </c>
      <c r="M12" s="64" t="n">
        <f aca="false">$M$6*H12+(IF(J12="SIM",$J$6,0))+(IF(K12="SIM",$K$6,0))</f>
        <v>9.3</v>
      </c>
      <c r="N12" s="64" t="n">
        <f aca="false">H12*12+I12*4+L12*2+M12</f>
        <v>70.3</v>
      </c>
      <c r="O12" s="65" t="n">
        <f aca="false">IF(K12="não", N12*(C$20+D$20),N12*(C$20+D$20)+(M12*E$20))</f>
        <v>4749.969</v>
      </c>
      <c r="P12" s="66"/>
      <c r="Q12" s="22" t="str">
        <f aca="false">B12</f>
        <v>APS TELÊMACO BORBA</v>
      </c>
      <c r="R12" s="24" t="n">
        <f aca="false">H12*($C$20+$D$20)</f>
        <v>186.39</v>
      </c>
      <c r="S12" s="24" t="n">
        <f aca="false">I12*($C$20+$D$20)</f>
        <v>223.668</v>
      </c>
      <c r="T12" s="24" t="n">
        <f aca="false">L12*($C$20+$D$20)</f>
        <v>329.289</v>
      </c>
      <c r="U12" s="24" t="n">
        <f aca="false">IF(K12="não",M12*($C$20+$D$20),M12*(C$20+D$20+E$20))</f>
        <v>960.039</v>
      </c>
      <c r="V12" s="24" t="n">
        <f aca="false">VLOOKUP(Q12,'Desl. Base Guarapuava'!$C$5:$S$17,13,FALSE())*($C$20+$D$20+$E$20*(VLOOKUP(Q12,'Desl. Base Guarapuava'!$C$5:$S$17,17,FALSE())/12))</f>
        <v>478.5515</v>
      </c>
      <c r="W12" s="24" t="n">
        <f aca="false">VLOOKUP(Q12,'Desl. Base Guarapuava'!$C$5:$Q$14,15,FALSE())*(2+(VLOOKUP(Q12,'Desl. Base Guarapuava'!$C$5:$S$14,17,FALSE())/12))</f>
        <v>276.541666666667</v>
      </c>
      <c r="X12" s="24" t="n">
        <f aca="false">VLOOKUP(Q12,'Desl. Base Guarapuava'!$C$5:$Q$14,14,FALSE())</f>
        <v>0</v>
      </c>
      <c r="Y12" s="24" t="n">
        <f aca="false">VLOOKUP(Q12,'Desl. Base Guarapuava'!$C$5:Q$14,13,FALSE())*'Desl. Base Guarapuava'!$E$19+'Desl. Base Guarapuava'!$E$20*N12/12</f>
        <v>425.352416666667</v>
      </c>
      <c r="Z12" s="24" t="n">
        <f aca="false">(H12/$AC$5)*'Equipe Técnica'!$C$13</f>
        <v>581.376339169741</v>
      </c>
      <c r="AA12" s="24" t="n">
        <f aca="false">(I12/$AC$5)*'Equipe Técnica'!$C$13</f>
        <v>697.651607003689</v>
      </c>
      <c r="AB12" s="24" t="n">
        <f aca="false">(L12/$AC$5)*'Equipe Técnica'!$C$13</f>
        <v>1027.09819919988</v>
      </c>
      <c r="AC12" s="24" t="n">
        <f aca="false">(M12/$AC$5)*'Equipe Técnica'!$C$13</f>
        <v>1802.2666514262</v>
      </c>
      <c r="AD12" s="24" t="n">
        <f aca="false">R12+(($V12+$W12+$X12+$Y12)*12/19)+$Z12</f>
        <v>1513.31091811711</v>
      </c>
      <c r="AE12" s="24" t="n">
        <f aca="false">S12+(($V12+$W12+$X12+$Y12)*12/19)+$AA12</f>
        <v>1666.86418595106</v>
      </c>
      <c r="AF12" s="24" t="n">
        <f aca="false">T12+(($V12+$W12+$X12+$Y12)*12/19)+$AB12</f>
        <v>2101.93177814724</v>
      </c>
      <c r="AG12" s="24" t="n">
        <f aca="false">U12+(($V12+$W12+$X12+$Y12)*12/19)+$AC12</f>
        <v>3507.85023037357</v>
      </c>
      <c r="AH12" s="134"/>
      <c r="AI12" s="22" t="str">
        <f aca="false">B12</f>
        <v>APS TELÊMACO BORBA</v>
      </c>
      <c r="AJ12" s="67" t="n">
        <f aca="false">VLOOKUP(AI12,Unidades!D$5:H$29,5,)</f>
        <v>0.2624</v>
      </c>
      <c r="AK12" s="46" t="n">
        <f aca="false">AD12*(1+$AJ12)</f>
        <v>1910.40370303104</v>
      </c>
      <c r="AL12" s="46" t="n">
        <f aca="false">AE12*(1+$AJ12)</f>
        <v>2104.24934834461</v>
      </c>
      <c r="AM12" s="46" t="n">
        <f aca="false">AF12*(1+$AJ12)</f>
        <v>2653.47867673308</v>
      </c>
      <c r="AN12" s="46" t="n">
        <f aca="false">AG12*(1+$AJ12)</f>
        <v>4428.31013082359</v>
      </c>
      <c r="AO12" s="46" t="n">
        <f aca="false">((AK12*12)+(AL12*4)+(AM12*2)+AN12)/12</f>
        <v>3423.09244283672</v>
      </c>
      <c r="AP12" s="46" t="n">
        <f aca="false">AO12*3</f>
        <v>10269.2773285102</v>
      </c>
      <c r="AQ12" s="46" t="n">
        <f aca="false">AO12+AP12</f>
        <v>13692.3697713469</v>
      </c>
      <c r="AR12" s="68"/>
      <c r="AS12" s="71" t="s">
        <v>73</v>
      </c>
      <c r="AT12" s="46" t="n">
        <f aca="false">AT10*3</f>
        <v>46552.2069583291</v>
      </c>
      <c r="AU12" s="46"/>
      <c r="AV12" s="70"/>
      <c r="AW12" s="70"/>
    </row>
    <row r="13" customFormat="false" ht="15" hidden="false" customHeight="true" outlineLevel="0" collapsed="false">
      <c r="B13" s="62" t="s">
        <v>147</v>
      </c>
      <c r="C13" s="63" t="n">
        <f aca="false">VLOOKUP($B13,Unidades!$D$5:$N$29,6,FALSE())</f>
        <v>334.4</v>
      </c>
      <c r="D13" s="63" t="n">
        <f aca="false">VLOOKUP($B13,Unidades!$D$5:$N$29,7,FALSE())</f>
        <v>296</v>
      </c>
      <c r="E13" s="63" t="n">
        <f aca="false">VLOOKUP($B13,Unidades!$D$5:$N$29,8,FALSE())</f>
        <v>38.4</v>
      </c>
      <c r="F13" s="63" t="n">
        <f aca="false">VLOOKUP($B13,Unidades!$D$5:$N$29,9,FALSE())</f>
        <v>0</v>
      </c>
      <c r="G13" s="63" t="n">
        <f aca="false">D13+$E$6*E13+$F$6*F13</f>
        <v>309.44</v>
      </c>
      <c r="H13" s="64" t="n">
        <f aca="false">IF(G13&lt;750,1.5,IF(G13&lt;2000,2,3))</f>
        <v>1.5</v>
      </c>
      <c r="I13" s="64" t="n">
        <f aca="false">$I$6*H13</f>
        <v>1.8</v>
      </c>
      <c r="J13" s="64" t="str">
        <f aca="false">VLOOKUP($B13,Unidades!$D$5:$N$29,10,FALSE())</f>
        <v>NÃO</v>
      </c>
      <c r="K13" s="64" t="str">
        <f aca="false">VLOOKUP($B13,Unidades!$D$5:$N$29,11,FALSE())</f>
        <v>NÃO</v>
      </c>
      <c r="L13" s="64" t="n">
        <f aca="false">$L$6*H13+(IF(J13="SIM",$J$6,0))</f>
        <v>1.65</v>
      </c>
      <c r="M13" s="64" t="n">
        <f aca="false">$M$6*H13+(IF(J13="SIM",$J$6,0))+(IF(K13="SIM",$K$6,0))</f>
        <v>1.65</v>
      </c>
      <c r="N13" s="64" t="n">
        <f aca="false">H13*12+I13*4+L13*2+M13</f>
        <v>30.15</v>
      </c>
      <c r="O13" s="65" t="n">
        <f aca="false">IF(K13="não", N13*(C$20+D$20),N13*(C$20+D$20)+(M13*E$20))</f>
        <v>1873.2195</v>
      </c>
      <c r="P13" s="66"/>
      <c r="Q13" s="22" t="str">
        <f aca="false">B13</f>
        <v>APS PRUDENTÓPOLIS</v>
      </c>
      <c r="R13" s="24" t="n">
        <f aca="false">H13*($C$20+$D$20)</f>
        <v>93.195</v>
      </c>
      <c r="S13" s="24" t="n">
        <f aca="false">I13*($C$20+$D$20)</f>
        <v>111.834</v>
      </c>
      <c r="T13" s="24" t="n">
        <f aca="false">L13*($C$20+$D$20)</f>
        <v>102.5145</v>
      </c>
      <c r="U13" s="24" t="n">
        <f aca="false">IF(K13="não",M13*($C$20+$D$20),M13*(C$20+D$20+E$20))</f>
        <v>102.5145</v>
      </c>
      <c r="V13" s="24" t="n">
        <f aca="false">VLOOKUP(Q13,'Desl. Base Guarapuava'!$C$5:$S$17,13,FALSE())*($C$20+$D$20+$E$20*(VLOOKUP(Q13,'Desl. Base Guarapuava'!$C$5:$S$17,17,FALSE())/12))</f>
        <v>116.49375</v>
      </c>
      <c r="W13" s="24" t="n">
        <f aca="false">VLOOKUP(Q13,'Desl. Base Guarapuava'!$C$5:$Q$14,15,FALSE())*(2+(VLOOKUP(Q13,'Desl. Base Guarapuava'!$C$5:$S$14,17,FALSE())/12))</f>
        <v>0</v>
      </c>
      <c r="X13" s="24" t="n">
        <f aca="false">VLOOKUP(Q13,'Desl. Base Guarapuava'!$C$5:$Q$14,14,FALSE())</f>
        <v>0</v>
      </c>
      <c r="Y13" s="24" t="n">
        <f aca="false">VLOOKUP(Q13,'Desl. Base Guarapuava'!$C$5:Q$14,13,FALSE())*'Desl. Base Guarapuava'!$E$19+'Desl. Base Guarapuava'!$E$20*N13/12</f>
        <v>116.255625</v>
      </c>
      <c r="Z13" s="24" t="n">
        <f aca="false">(H13/$AC$5)*'Equipe Técnica'!$C$13</f>
        <v>290.68816958487</v>
      </c>
      <c r="AA13" s="24" t="n">
        <f aca="false">(I13/$AC$5)*'Equipe Técnica'!$C$13</f>
        <v>348.825803501844</v>
      </c>
      <c r="AB13" s="24" t="n">
        <f aca="false">(L13/$AC$5)*'Equipe Técnica'!$C$13</f>
        <v>319.756986543357</v>
      </c>
      <c r="AC13" s="24" t="n">
        <f aca="false">(M13/$AC$5)*'Equipe Técnica'!$C$13</f>
        <v>319.756986543357</v>
      </c>
      <c r="AD13" s="24" t="n">
        <f aca="false">R13+(($V13+$W13+$X13+$Y13)*12/19)+$Z13</f>
        <v>530.882774848028</v>
      </c>
      <c r="AE13" s="24" t="n">
        <f aca="false">S13+(($V13+$W13+$X13+$Y13)*12/19)+$AA13</f>
        <v>607.659408765002</v>
      </c>
      <c r="AF13" s="24" t="n">
        <f aca="false">T13+(($V13+$W13+$X13+$Y13)*12/19)+$AB13</f>
        <v>569.271091806515</v>
      </c>
      <c r="AG13" s="24" t="n">
        <f aca="false">U13+(($V13+$W13+$X13+$Y13)*12/19)+$AC13</f>
        <v>569.271091806515</v>
      </c>
      <c r="AH13" s="134"/>
      <c r="AI13" s="22" t="str">
        <f aca="false">B13</f>
        <v>APS PRUDENTÓPOLIS</v>
      </c>
      <c r="AJ13" s="67" t="n">
        <f aca="false">VLOOKUP(AI13,Unidades!D$5:H$29,5,)</f>
        <v>0.2624</v>
      </c>
      <c r="AK13" s="46" t="n">
        <f aca="false">AD13*(1+$AJ13)</f>
        <v>670.186414968151</v>
      </c>
      <c r="AL13" s="46" t="n">
        <f aca="false">AE13*(1+$AJ13)</f>
        <v>767.109237624939</v>
      </c>
      <c r="AM13" s="46" t="n">
        <f aca="false">AF13*(1+$AJ13)</f>
        <v>718.647826296545</v>
      </c>
      <c r="AN13" s="46" t="n">
        <f aca="false">AG13*(1+$AJ13)</f>
        <v>718.647826296545</v>
      </c>
      <c r="AO13" s="46" t="n">
        <f aca="false">((AK13*12)+(AL13*4)+(AM13*2)+AN13)/12</f>
        <v>1105.5514507506</v>
      </c>
      <c r="AP13" s="46" t="n">
        <f aca="false">AO13*3</f>
        <v>3316.6543522518</v>
      </c>
      <c r="AQ13" s="46" t="n">
        <f aca="false">AO13+AP13</f>
        <v>4422.2058030024</v>
      </c>
      <c r="AR13" s="68"/>
      <c r="AS13" s="71" t="s">
        <v>91</v>
      </c>
      <c r="AT13" s="46" t="n">
        <f aca="false">AT12*12</f>
        <v>558626.483499949</v>
      </c>
      <c r="AU13" s="46"/>
      <c r="AV13" s="70"/>
      <c r="AW13" s="70"/>
    </row>
    <row r="14" customFormat="false" ht="15" hidden="false" customHeight="true" outlineLevel="0" collapsed="false">
      <c r="B14" s="62" t="s">
        <v>148</v>
      </c>
      <c r="C14" s="63" t="n">
        <f aca="false">VLOOKUP($B14,Unidades!$D$5:$N$29,6,FALSE())</f>
        <v>334.4</v>
      </c>
      <c r="D14" s="63" t="n">
        <f aca="false">VLOOKUP($B14,Unidades!$D$5:$N$29,7,FALSE())</f>
        <v>296</v>
      </c>
      <c r="E14" s="63" t="n">
        <f aca="false">VLOOKUP($B14,Unidades!$D$5:$N$29,8,FALSE())</f>
        <v>38.4</v>
      </c>
      <c r="F14" s="63" t="n">
        <f aca="false">VLOOKUP($B14,Unidades!$D$5:$N$29,9,FALSE())</f>
        <v>0</v>
      </c>
      <c r="G14" s="63" t="n">
        <f aca="false">D14+$E$6*E14+$F$6*F14</f>
        <v>309.44</v>
      </c>
      <c r="H14" s="64" t="n">
        <f aca="false">IF(G14&lt;750,1.5,IF(G14&lt;2000,2,3))</f>
        <v>1.5</v>
      </c>
      <c r="I14" s="64" t="n">
        <f aca="false">$I$6*H14</f>
        <v>1.8</v>
      </c>
      <c r="J14" s="64" t="str">
        <f aca="false">VLOOKUP($B14,Unidades!$D$5:$N$29,10,FALSE())</f>
        <v>NÃO</v>
      </c>
      <c r="K14" s="64" t="str">
        <f aca="false">VLOOKUP($B14,Unidades!$D$5:$N$29,11,FALSE())</f>
        <v>NÃO</v>
      </c>
      <c r="L14" s="64" t="n">
        <f aca="false">$L$6*H14+(IF(J14="SIM",$J$6,0))</f>
        <v>1.65</v>
      </c>
      <c r="M14" s="64" t="n">
        <f aca="false">$M$6*H14+(IF(J14="SIM",$J$6,0))+(IF(K14="SIM",$K$6,0))</f>
        <v>1.65</v>
      </c>
      <c r="N14" s="64" t="n">
        <f aca="false">H14*12+I14*4+L14*2+M14</f>
        <v>30.15</v>
      </c>
      <c r="O14" s="65" t="n">
        <f aca="false">IF(K14="não", N14*(C$20+D$20),N14*(C$20+D$20)+(M14*E$20))</f>
        <v>1873.2195</v>
      </c>
      <c r="P14" s="66"/>
      <c r="Q14" s="22" t="str">
        <f aca="false">B14</f>
        <v>APS IMBITUVA</v>
      </c>
      <c r="R14" s="24" t="n">
        <f aca="false">H14*($C$20+$D$20)</f>
        <v>93.195</v>
      </c>
      <c r="S14" s="24" t="n">
        <f aca="false">I14*($C$20+$D$20)</f>
        <v>111.834</v>
      </c>
      <c r="T14" s="24" t="n">
        <f aca="false">L14*($C$20+$D$20)</f>
        <v>102.5145</v>
      </c>
      <c r="U14" s="24" t="n">
        <f aca="false">IF(K14="não",M14*($C$20+$D$20),M14*(C$20+D$20+E$20))</f>
        <v>102.5145</v>
      </c>
      <c r="V14" s="24" t="n">
        <f aca="false">VLOOKUP(Q14,'Desl. Base Guarapuava'!$C$5:$S$17,13,FALSE())*($C$20+$D$20+$E$20*(VLOOKUP(Q14,'Desl. Base Guarapuava'!$C$5:$S$17,17,FALSE())/12))</f>
        <v>116.49375</v>
      </c>
      <c r="W14" s="24" t="n">
        <f aca="false">VLOOKUP(Q14,'Desl. Base Guarapuava'!$C$5:$Q$14,15,FALSE())*(2+(VLOOKUP(Q14,'Desl. Base Guarapuava'!$C$5:$S$14,17,FALSE())/12))</f>
        <v>0</v>
      </c>
      <c r="X14" s="24" t="n">
        <f aca="false">VLOOKUP(Q14,'Desl. Base Guarapuava'!$C$5:$Q$14,14,FALSE())</f>
        <v>0</v>
      </c>
      <c r="Y14" s="24" t="n">
        <f aca="false">VLOOKUP(Q14,'Desl. Base Guarapuava'!$C$5:Q$14,13,FALSE())*'Desl. Base Guarapuava'!$E$19+'Desl. Base Guarapuava'!$E$20*N14/12</f>
        <v>116.255625</v>
      </c>
      <c r="Z14" s="24" t="n">
        <f aca="false">(H14/$AC$5)*'Equipe Técnica'!$C$13</f>
        <v>290.68816958487</v>
      </c>
      <c r="AA14" s="24" t="n">
        <f aca="false">(I14/$AC$5)*'Equipe Técnica'!$C$13</f>
        <v>348.825803501844</v>
      </c>
      <c r="AB14" s="24" t="n">
        <f aca="false">(L14/$AC$5)*'Equipe Técnica'!$C$13</f>
        <v>319.756986543357</v>
      </c>
      <c r="AC14" s="24" t="n">
        <f aca="false">(M14/$AC$5)*'Equipe Técnica'!$C$13</f>
        <v>319.756986543357</v>
      </c>
      <c r="AD14" s="24" t="n">
        <f aca="false">R14+(($V14+$W14+$X14+$Y14)*12/19)+$Z14</f>
        <v>530.882774848028</v>
      </c>
      <c r="AE14" s="24" t="n">
        <f aca="false">S14+(($V14+$W14+$X14+$Y14)*12/19)+$AA14</f>
        <v>607.659408765002</v>
      </c>
      <c r="AF14" s="24" t="n">
        <f aca="false">T14+(($V14+$W14+$X14+$Y14)*12/19)+$AB14</f>
        <v>569.271091806515</v>
      </c>
      <c r="AG14" s="24" t="n">
        <f aca="false">U14+(($V14+$W14+$X14+$Y14)*12/19)+$AC14</f>
        <v>569.271091806515</v>
      </c>
      <c r="AH14" s="134"/>
      <c r="AI14" s="22" t="str">
        <f aca="false">B14</f>
        <v>APS IMBITUVA</v>
      </c>
      <c r="AJ14" s="67" t="n">
        <f aca="false">VLOOKUP(AI14,Unidades!D$5:H$29,5,)</f>
        <v>0.2624</v>
      </c>
      <c r="AK14" s="46" t="n">
        <f aca="false">AD14*(1+$AJ14)</f>
        <v>670.186414968151</v>
      </c>
      <c r="AL14" s="46" t="n">
        <f aca="false">AE14*(1+$AJ14)</f>
        <v>767.109237624939</v>
      </c>
      <c r="AM14" s="46" t="n">
        <f aca="false">AF14*(1+$AJ14)</f>
        <v>718.647826296545</v>
      </c>
      <c r="AN14" s="46" t="n">
        <f aca="false">AG14*(1+$AJ14)</f>
        <v>718.647826296545</v>
      </c>
      <c r="AO14" s="46" t="n">
        <f aca="false">((AK14*12)+(AL14*4)+(AM14*2)+AN14)/12</f>
        <v>1105.5514507506</v>
      </c>
      <c r="AP14" s="46" t="n">
        <f aca="false">AO14*3</f>
        <v>3316.6543522518</v>
      </c>
      <c r="AQ14" s="46" t="n">
        <f aca="false">AO14+AP14</f>
        <v>4422.2058030024</v>
      </c>
      <c r="AR14" s="68"/>
      <c r="AS14" s="71" t="s">
        <v>93</v>
      </c>
      <c r="AT14" s="46" t="n">
        <f aca="false">AT10+AT12</f>
        <v>62069.6092777721</v>
      </c>
      <c r="AU14" s="46"/>
      <c r="AV14" s="70"/>
      <c r="AW14" s="70"/>
    </row>
    <row r="15" customFormat="false" ht="15" hidden="false" customHeight="true" outlineLevel="0" collapsed="false">
      <c r="B15" s="62" t="s">
        <v>149</v>
      </c>
      <c r="C15" s="63" t="n">
        <f aca="false">VLOOKUP($B15,Unidades!$D$5:$N$29,6,FALSE())</f>
        <v>1166.84</v>
      </c>
      <c r="D15" s="63" t="n">
        <f aca="false">VLOOKUP($B15,Unidades!$D$5:$N$29,7,FALSE())</f>
        <v>1166.84</v>
      </c>
      <c r="E15" s="63" t="n">
        <f aca="false">VLOOKUP($B15,Unidades!$D$5:$N$29,8,FALSE())</f>
        <v>0</v>
      </c>
      <c r="F15" s="63" t="n">
        <f aca="false">VLOOKUP($B15,Unidades!$D$5:$N$29,9,FALSE())</f>
        <v>0</v>
      </c>
      <c r="G15" s="63" t="n">
        <f aca="false">D15+$E$6*E15+$F$6*F15</f>
        <v>1166.84</v>
      </c>
      <c r="H15" s="64" t="n">
        <f aca="false">IF(G15&lt;750,1.5,IF(G15&lt;2000,2,3))</f>
        <v>2</v>
      </c>
      <c r="I15" s="64" t="n">
        <f aca="false">$I$6*H15</f>
        <v>2.4</v>
      </c>
      <c r="J15" s="64" t="str">
        <f aca="false">VLOOKUP($B15,Unidades!$D$5:$N$29,10,FALSE())</f>
        <v>NÃO</v>
      </c>
      <c r="K15" s="64" t="str">
        <f aca="false">VLOOKUP($B15,Unidades!$D$5:$N$29,11,FALSE())</f>
        <v>NÃO</v>
      </c>
      <c r="L15" s="64" t="n">
        <f aca="false">$L$6*H15+(IF(J15="SIM",$J$6,0))</f>
        <v>2.2</v>
      </c>
      <c r="M15" s="64" t="n">
        <f aca="false">$M$6*H15+(IF(J15="SIM",$J$6,0))+(IF(K15="SIM",$K$6,0))</f>
        <v>2.2</v>
      </c>
      <c r="N15" s="64" t="n">
        <f aca="false">H15*12+I15*4+L15*2+M15</f>
        <v>40.2</v>
      </c>
      <c r="O15" s="65" t="n">
        <f aca="false">IF(K15="não", N15*(C$20+D$20),N15*(C$20+D$20)+(M15*E$20))</f>
        <v>2497.626</v>
      </c>
      <c r="P15" s="66"/>
      <c r="Q15" s="22" t="str">
        <f aca="false">B15</f>
        <v>APS JAGUARIAIVA</v>
      </c>
      <c r="R15" s="24" t="n">
        <f aca="false">H15*($C$20+$D$20)</f>
        <v>124.26</v>
      </c>
      <c r="S15" s="24" t="n">
        <f aca="false">I15*($C$20+$D$20)</f>
        <v>149.112</v>
      </c>
      <c r="T15" s="24" t="n">
        <f aca="false">L15*($C$20+$D$20)</f>
        <v>136.686</v>
      </c>
      <c r="U15" s="24" t="n">
        <f aca="false">IF(K15="não",M15*($C$20+$D$20),M15*(C$20+D$20+E$20))</f>
        <v>136.686</v>
      </c>
      <c r="V15" s="24" t="n">
        <f aca="false">VLOOKUP(Q15,'Desl. Base Guarapuava'!$C$5:$S$17,13,FALSE())*($C$20+$D$20+$E$20*(VLOOKUP(Q15,'Desl. Base Guarapuava'!$C$5:$S$17,17,FALSE())/12))</f>
        <v>265.088</v>
      </c>
      <c r="W15" s="24" t="n">
        <f aca="false">VLOOKUP(Q15,'Desl. Base Guarapuava'!$C$5:$Q$14,15,FALSE())*(2+(VLOOKUP(Q15,'Desl. Base Guarapuava'!$C$5:$S$14,17,FALSE())/12))</f>
        <v>132.74</v>
      </c>
      <c r="X15" s="24" t="n">
        <f aca="false">VLOOKUP(Q15,'Desl. Base Guarapuava'!$C$5:$Q$14,14,FALSE())</f>
        <v>0</v>
      </c>
      <c r="Y15" s="24" t="n">
        <f aca="false">VLOOKUP(Q15,'Desl. Base Guarapuava'!$C$5:Q$14,13,FALSE())*'Desl. Base Guarapuava'!$E$19+'Desl. Base Guarapuava'!$E$20*N15/12</f>
        <v>248.093166666667</v>
      </c>
      <c r="Z15" s="24" t="n">
        <f aca="false">(H15/$AC$5)*'Equipe Técnica'!$C$13</f>
        <v>387.584226113161</v>
      </c>
      <c r="AA15" s="24" t="n">
        <f aca="false">(I15/$AC$5)*'Equipe Técnica'!$C$13</f>
        <v>465.101071335793</v>
      </c>
      <c r="AB15" s="24" t="n">
        <f aca="false">(L15/$AC$5)*'Equipe Técnica'!$C$13</f>
        <v>426.342648724477</v>
      </c>
      <c r="AC15" s="24" t="n">
        <f aca="false">(M15/$AC$5)*'Equipe Técnica'!$C$13</f>
        <v>426.342648724477</v>
      </c>
      <c r="AD15" s="24" t="n">
        <f aca="false">R15+(($V15+$W15+$X15+$Y15)*12/19)+$Z15</f>
        <v>919.794436639476</v>
      </c>
      <c r="AE15" s="24" t="n">
        <f aca="false">S15+(($V15+$W15+$X15+$Y15)*12/19)+$AA15</f>
        <v>1022.16328186211</v>
      </c>
      <c r="AF15" s="24" t="n">
        <f aca="false">T15+(($V15+$W15+$X15+$Y15)*12/19)+$AB15</f>
        <v>970.978859250792</v>
      </c>
      <c r="AG15" s="24" t="n">
        <f aca="false">U15+(($V15+$W15+$X15+$Y15)*12/19)+$AC15</f>
        <v>970.978859250792</v>
      </c>
      <c r="AH15" s="134"/>
      <c r="AI15" s="22" t="str">
        <f aca="false">B15</f>
        <v>APS JAGUARIAIVA</v>
      </c>
      <c r="AJ15" s="67" t="n">
        <f aca="false">VLOOKUP(AI15,Unidades!D$5:H$29,5,)</f>
        <v>0.2223</v>
      </c>
      <c r="AK15" s="46" t="n">
        <f aca="false">AD15*(1+$AJ15)</f>
        <v>1124.26473990443</v>
      </c>
      <c r="AL15" s="46" t="n">
        <f aca="false">AE15*(1+$AJ15)</f>
        <v>1249.39017942006</v>
      </c>
      <c r="AM15" s="46" t="n">
        <f aca="false">AF15*(1+$AJ15)</f>
        <v>1186.82745966224</v>
      </c>
      <c r="AN15" s="46" t="n">
        <f aca="false">AG15*(1+$AJ15)</f>
        <v>1186.82745966224</v>
      </c>
      <c r="AO15" s="46" t="n">
        <f aca="false">((AK15*12)+(AL15*4)+(AM15*2)+AN15)/12</f>
        <v>1837.43499796001</v>
      </c>
      <c r="AP15" s="46" t="n">
        <f aca="false">AO15*3</f>
        <v>5512.30499388003</v>
      </c>
      <c r="AQ15" s="46" t="n">
        <f aca="false">AO15+AP15</f>
        <v>7349.73999184004</v>
      </c>
      <c r="AR15" s="68"/>
      <c r="AS15" s="71" t="s">
        <v>95</v>
      </c>
      <c r="AT15" s="46" t="n">
        <f aca="false">AT11+AT13</f>
        <v>744835.311333265</v>
      </c>
      <c r="AU15" s="46"/>
      <c r="AV15" s="70"/>
      <c r="AW15" s="70"/>
    </row>
    <row r="16" customFormat="false" ht="15" hidden="false" customHeight="true" outlineLevel="0" collapsed="false">
      <c r="B16" s="62" t="s">
        <v>150</v>
      </c>
      <c r="C16" s="63" t="n">
        <f aca="false">VLOOKUP($B16,Unidades!$D$5:$N$29,6,FALSE())</f>
        <v>334.4</v>
      </c>
      <c r="D16" s="63" t="n">
        <f aca="false">VLOOKUP($B16,Unidades!$D$5:$N$29,7,FALSE())</f>
        <v>296</v>
      </c>
      <c r="E16" s="63" t="n">
        <f aca="false">VLOOKUP($B16,Unidades!$D$5:$N$29,8,FALSE())</f>
        <v>38.4</v>
      </c>
      <c r="F16" s="63" t="n">
        <f aca="false">VLOOKUP($B16,Unidades!$D$5:$N$29,9,FALSE())</f>
        <v>0</v>
      </c>
      <c r="G16" s="63" t="n">
        <f aca="false">D16+$E$6*E16+$F$6*F16</f>
        <v>309.44</v>
      </c>
      <c r="H16" s="64" t="n">
        <f aca="false">IF(G16&lt;750,1.5,IF(G16&lt;2000,2,3))</f>
        <v>1.5</v>
      </c>
      <c r="I16" s="64" t="n">
        <f aca="false">$I$6*H16</f>
        <v>1.8</v>
      </c>
      <c r="J16" s="64" t="str">
        <f aca="false">VLOOKUP($B16,Unidades!$D$5:$N$29,10,FALSE())</f>
        <v>NÃO</v>
      </c>
      <c r="K16" s="64" t="str">
        <f aca="false">VLOOKUP($B16,Unidades!$D$5:$N$29,11,FALSE())</f>
        <v>NÃO</v>
      </c>
      <c r="L16" s="64" t="n">
        <f aca="false">$L$6*H16+(IF(J16="SIM",$J$6,0))</f>
        <v>1.65</v>
      </c>
      <c r="M16" s="64" t="n">
        <f aca="false">$M$6*H16+(IF(J16="SIM",$J$6,0))+(IF(K16="SIM",$K$6,0))</f>
        <v>1.65</v>
      </c>
      <c r="N16" s="64" t="n">
        <f aca="false">H16*12+I16*4+L16*2+M16</f>
        <v>30.15</v>
      </c>
      <c r="O16" s="65" t="n">
        <f aca="false">IF(K16="não", N16*(C$20+D$20),N16*(C$20+D$20)+(M16*E$20))</f>
        <v>1873.2195</v>
      </c>
      <c r="P16" s="66"/>
      <c r="Q16" s="22" t="str">
        <f aca="false">B16</f>
        <v>APS ARAPOTI</v>
      </c>
      <c r="R16" s="24" t="n">
        <f aca="false">H16*($C$20+$D$20)</f>
        <v>93.195</v>
      </c>
      <c r="S16" s="24" t="n">
        <f aca="false">I16*($C$20+$D$20)</f>
        <v>111.834</v>
      </c>
      <c r="T16" s="24" t="n">
        <f aca="false">L16*($C$20+$D$20)</f>
        <v>102.5145</v>
      </c>
      <c r="U16" s="24" t="n">
        <f aca="false">IF(K16="não",M16*($C$20+$D$20),M16*(C$20+D$20+E$20))</f>
        <v>102.5145</v>
      </c>
      <c r="V16" s="24" t="n">
        <f aca="false">VLOOKUP(Q16,'Desl. Base Guarapuava'!$C$5:$S$17,13,FALSE())*($C$20+$D$20+$E$20*(VLOOKUP(Q16,'Desl. Base Guarapuava'!$C$5:$S$17,17,FALSE())/12))</f>
        <v>265.088</v>
      </c>
      <c r="W16" s="24" t="n">
        <f aca="false">VLOOKUP(Q16,'Desl. Base Guarapuava'!$C$5:$Q$14,15,FALSE())*(2+(VLOOKUP(Q16,'Desl. Base Guarapuava'!$C$5:$S$14,17,FALSE())/12))</f>
        <v>132.74</v>
      </c>
      <c r="X16" s="24" t="n">
        <f aca="false">VLOOKUP(Q16,'Desl. Base Guarapuava'!$C$5:$Q$14,14,FALSE())</f>
        <v>0</v>
      </c>
      <c r="Y16" s="24" t="n">
        <f aca="false">VLOOKUP(Q16,'Desl. Base Guarapuava'!$C$5:Q$14,13,FALSE())*'Desl. Base Guarapuava'!$E$19+'Desl. Base Guarapuava'!$E$20*N16/12</f>
        <v>242.272541666667</v>
      </c>
      <c r="Z16" s="24" t="n">
        <f aca="false">(H16/$AC$5)*'Equipe Técnica'!$C$13</f>
        <v>290.68816958487</v>
      </c>
      <c r="AA16" s="24" t="n">
        <f aca="false">(I16/$AC$5)*'Equipe Técnica'!$C$13</f>
        <v>348.825803501844</v>
      </c>
      <c r="AB16" s="24" t="n">
        <f aca="false">(L16/$AC$5)*'Equipe Técnica'!$C$13</f>
        <v>319.756986543357</v>
      </c>
      <c r="AC16" s="24" t="n">
        <f aca="false">(M16/$AC$5)*'Equipe Técnica'!$C$13</f>
        <v>319.756986543357</v>
      </c>
      <c r="AD16" s="24" t="n">
        <f aca="false">R16+(($V16+$W16+$X16+$Y16)*12/19)+$Z16</f>
        <v>788.15719590066</v>
      </c>
      <c r="AE16" s="24" t="n">
        <f aca="false">S16+(($V16+$W16+$X16+$Y16)*12/19)+$AA16</f>
        <v>864.933829817634</v>
      </c>
      <c r="AF16" s="24" t="n">
        <f aca="false">T16+(($V16+$W16+$X16+$Y16)*12/19)+$AB16</f>
        <v>826.545512859147</v>
      </c>
      <c r="AG16" s="24" t="n">
        <f aca="false">U16+(($V16+$W16+$X16+$Y16)*12/19)+$AC16</f>
        <v>826.545512859147</v>
      </c>
      <c r="AH16" s="134"/>
      <c r="AI16" s="22" t="str">
        <f aca="false">B16</f>
        <v>APS ARAPOTI</v>
      </c>
      <c r="AJ16" s="67" t="n">
        <f aca="false">VLOOKUP(AI16,Unidades!D$5:H$29,5,)</f>
        <v>0.2223</v>
      </c>
      <c r="AK16" s="46" t="n">
        <f aca="false">AD16*(1+$AJ16)</f>
        <v>963.364540549377</v>
      </c>
      <c r="AL16" s="46" t="n">
        <f aca="false">AE16*(1+$AJ16)</f>
        <v>1057.20862018609</v>
      </c>
      <c r="AM16" s="46" t="n">
        <f aca="false">AF16*(1+$AJ16)</f>
        <v>1010.28658036774</v>
      </c>
      <c r="AN16" s="46" t="n">
        <f aca="false">AG16*(1+$AJ16)</f>
        <v>1010.28658036774</v>
      </c>
      <c r="AO16" s="46" t="n">
        <f aca="false">((AK16*12)+(AL16*4)+(AM16*2)+AN16)/12</f>
        <v>1568.33905903668</v>
      </c>
      <c r="AP16" s="46" t="n">
        <f aca="false">AO16*3</f>
        <v>4705.01717711003</v>
      </c>
      <c r="AQ16" s="46" t="n">
        <f aca="false">AO16+AP16</f>
        <v>6273.3562361467</v>
      </c>
      <c r="AR16" s="68"/>
      <c r="AS16" s="135"/>
      <c r="AT16" s="136"/>
      <c r="AU16" s="136"/>
      <c r="AV16" s="70"/>
      <c r="AW16" s="70"/>
    </row>
    <row r="17" s="137" customFormat="true" ht="19.5" hidden="false" customHeight="true" outlineLevel="0" collapsed="false">
      <c r="B17" s="138" t="s">
        <v>102</v>
      </c>
      <c r="C17" s="74" t="n">
        <f aca="false">SUM(C7:C16)</f>
        <v>10254.3</v>
      </c>
      <c r="D17" s="74" t="n">
        <f aca="false">SUM(D7:D16)</f>
        <v>7812.45</v>
      </c>
      <c r="E17" s="74" t="n">
        <f aca="false">SUM(E7:E16)</f>
        <v>2229.35</v>
      </c>
      <c r="F17" s="74" t="n">
        <f aca="false">SUM(F7:F16)</f>
        <v>212.5</v>
      </c>
      <c r="G17" s="74" t="n">
        <f aca="false">SUM(G7:G16)</f>
        <v>8613.9725</v>
      </c>
      <c r="H17" s="75" t="n">
        <f aca="false">SUM(H7:H16)</f>
        <v>18</v>
      </c>
      <c r="I17" s="75" t="n">
        <f aca="false">SUM(I7:I16)</f>
        <v>21.6</v>
      </c>
      <c r="J17" s="75" t="n">
        <f aca="false">COUNTIF(J7:J16,"SIM")</f>
        <v>2</v>
      </c>
      <c r="K17" s="75" t="n">
        <f aca="false">COUNTIF(K7:K16,"SIM")</f>
        <v>3</v>
      </c>
      <c r="L17" s="75" t="n">
        <f aca="false">SUM(L7:L16)</f>
        <v>23.8</v>
      </c>
      <c r="M17" s="75" t="n">
        <f aca="false">SUM(M7:M16)</f>
        <v>35.8</v>
      </c>
      <c r="N17" s="75" t="n">
        <f aca="false">SUM(N7:N16)</f>
        <v>385.8</v>
      </c>
      <c r="O17" s="76" t="n">
        <f aca="false">SUM(O7:O16)</f>
        <v>24943.824</v>
      </c>
      <c r="P17" s="139"/>
      <c r="Q17" s="140" t="s">
        <v>102</v>
      </c>
      <c r="R17" s="78" t="n">
        <f aca="false">SUM(R7:R16)</f>
        <v>1118.34</v>
      </c>
      <c r="S17" s="78" t="n">
        <f aca="false">SUM(S7:S16)</f>
        <v>1342.008</v>
      </c>
      <c r="T17" s="78" t="n">
        <f aca="false">SUM(T7:T16)</f>
        <v>1478.694</v>
      </c>
      <c r="U17" s="78" t="n">
        <f aca="false">SUM(U7:U16)</f>
        <v>3198.324</v>
      </c>
      <c r="V17" s="78" t="n">
        <f aca="false">SUM(V7:V16)</f>
        <v>1815.947</v>
      </c>
      <c r="W17" s="78" t="n">
        <f aca="false">SUM(W7:W16)</f>
        <v>542.021666666667</v>
      </c>
      <c r="X17" s="78" t="n">
        <f aca="false">SUM(X7:X16)</f>
        <v>0</v>
      </c>
      <c r="Y17" s="78" t="n">
        <f aca="false">SUM(Y7:Y16)</f>
        <v>1728.62016666667</v>
      </c>
      <c r="Z17" s="78" t="n">
        <f aca="false">SUM(Z7:Z16)</f>
        <v>3488.25803501844</v>
      </c>
      <c r="AA17" s="78" t="n">
        <f aca="false">SUM(AA7:AA16)</f>
        <v>4185.90964202213</v>
      </c>
      <c r="AB17" s="78" t="n">
        <f aca="false">SUM(AB7:AB16)</f>
        <v>4612.25229074661</v>
      </c>
      <c r="AC17" s="78" t="n">
        <f aca="false">SUM(AC7:AC16)</f>
        <v>6937.75764742557</v>
      </c>
      <c r="AD17" s="78" t="n">
        <f aca="false">SUM(AD7:AD16)</f>
        <v>7187.60150870265</v>
      </c>
      <c r="AE17" s="78" t="n">
        <f aca="false">SUM(AE7:AE16)</f>
        <v>8108.92111570634</v>
      </c>
      <c r="AF17" s="78" t="n">
        <f aca="false">SUM(AF7:AF16)</f>
        <v>8671.94976443082</v>
      </c>
      <c r="AG17" s="78" t="n">
        <f aca="false">SUM(AG7:AG16)</f>
        <v>12717.0851211098</v>
      </c>
      <c r="AH17" s="39"/>
      <c r="AI17" s="75" t="s">
        <v>102</v>
      </c>
      <c r="AJ17" s="75"/>
      <c r="AK17" s="79" t="n">
        <f aca="false">SUM(AK7:AK16)</f>
        <v>8993.502875325</v>
      </c>
      <c r="AL17" s="79" t="n">
        <f aca="false">SUM(AL7:AL16)</f>
        <v>10147.8267701611</v>
      </c>
      <c r="AM17" s="79" t="n">
        <f aca="false">SUM(AM7:AM16)</f>
        <v>10862.9691248335</v>
      </c>
      <c r="AN17" s="79" t="n">
        <f aca="false">SUM(AN7:AN16)</f>
        <v>15969.5479991051</v>
      </c>
      <c r="AO17" s="79" t="n">
        <f aca="false">SUM(AO7:AO16)</f>
        <v>15517.402319443</v>
      </c>
      <c r="AP17" s="79" t="n">
        <f aca="false">SUM(AP7:AP16)</f>
        <v>46552.2069583291</v>
      </c>
      <c r="AQ17" s="79" t="n">
        <f aca="false">SUM(AQ7:AQ16)</f>
        <v>62069.6092777721</v>
      </c>
      <c r="AR17" s="68"/>
      <c r="AS17" s="68"/>
      <c r="AT17" s="68"/>
      <c r="AU17" s="68"/>
      <c r="AV17" s="68"/>
      <c r="AW17" s="68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</row>
    <row r="18" customFormat="false" ht="18" hidden="false" customHeight="true" outlineLevel="0" collapsed="false">
      <c r="B18" s="2"/>
      <c r="C18" s="2"/>
      <c r="D18" s="2"/>
      <c r="E18" s="2"/>
      <c r="F18" s="2"/>
      <c r="G18" s="2"/>
      <c r="H18" s="80"/>
      <c r="I18" s="2"/>
      <c r="J18" s="2"/>
      <c r="O18" s="2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D18" s="54"/>
      <c r="AE18" s="54"/>
      <c r="AF18" s="54"/>
      <c r="AG18" s="54"/>
      <c r="AH18" s="54"/>
      <c r="AS18" s="141"/>
      <c r="AT18" s="141"/>
      <c r="AU18" s="141"/>
      <c r="AV18" s="141"/>
      <c r="AW18" s="141"/>
    </row>
    <row r="19" customFormat="false" ht="39.75" hidden="false" customHeight="true" outlineLevel="0" collapsed="false">
      <c r="B19" s="45" t="s">
        <v>30</v>
      </c>
      <c r="C19" s="82" t="s">
        <v>103</v>
      </c>
      <c r="D19" s="82" t="s">
        <v>104</v>
      </c>
      <c r="E19" s="82" t="s">
        <v>105</v>
      </c>
      <c r="N19" s="142"/>
      <c r="O19" s="143"/>
      <c r="R19" s="83"/>
      <c r="Z19" s="83"/>
      <c r="AA19" s="83"/>
      <c r="AB19" s="83"/>
      <c r="AC19" s="83"/>
    </row>
    <row r="20" customFormat="false" ht="18" hidden="false" customHeight="true" outlineLevel="0" collapsed="false">
      <c r="B20" s="45"/>
      <c r="C20" s="24" t="n">
        <f aca="false">'Base Londrina'!C25</f>
        <v>34.79</v>
      </c>
      <c r="D20" s="24" t="n">
        <f aca="false">'Base Londrina'!D25</f>
        <v>27.34</v>
      </c>
      <c r="E20" s="24" t="n">
        <f aca="false">'Base Londrina'!E25</f>
        <v>41.1</v>
      </c>
      <c r="N20" s="142"/>
      <c r="O20" s="143"/>
    </row>
    <row r="21" customFormat="false" ht="40.5" hidden="false" customHeight="true" outlineLevel="0" collapsed="false">
      <c r="B21" s="49" t="str">
        <f aca="false">'Base Londrina'!B26</f>
        <v>* Tabela SINAPI Outubro/2023 (Não Desonerado)</v>
      </c>
      <c r="N21" s="143"/>
      <c r="O21" s="143"/>
    </row>
    <row r="22" customFormat="false" ht="13.5" hidden="false" customHeight="false" outlineLevel="0" collapsed="false">
      <c r="N22" s="143"/>
      <c r="O22" s="143"/>
    </row>
    <row r="23" customFormat="false" ht="13.5" hidden="false" customHeight="false" outlineLevel="0" collapsed="false">
      <c r="N23" s="143"/>
      <c r="O23" s="143"/>
    </row>
    <row r="24" customFormat="false" ht="15.75" hidden="false" customHeight="true" outlineLevel="0" collapsed="false">
      <c r="N24" s="143"/>
      <c r="O24" s="143"/>
    </row>
    <row r="25" customFormat="false" ht="13.5" hidden="false" customHeight="false" outlineLevel="0" collapsed="false">
      <c r="N25" s="143"/>
      <c r="O25" s="143"/>
    </row>
    <row r="26" customFormat="false" ht="13.5" hidden="false" customHeight="false" outlineLevel="0" collapsed="false">
      <c r="N26" s="143"/>
      <c r="O26" s="143"/>
    </row>
    <row r="27" customFormat="false" ht="13.5" hidden="false" customHeight="false" outlineLevel="0" collapsed="false">
      <c r="N27" s="143"/>
      <c r="O27" s="143"/>
    </row>
    <row r="28" customFormat="false" ht="13.5" hidden="false" customHeight="false" outlineLevel="0" collapsed="false">
      <c r="N28" s="143"/>
      <c r="O28" s="143"/>
    </row>
    <row r="29" customFormat="false" ht="13.5" hidden="false" customHeight="false" outlineLevel="0" collapsed="false">
      <c r="N29" s="143"/>
      <c r="O29" s="143"/>
    </row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</sheetData>
  <mergeCells count="45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7:AJ17"/>
    <mergeCell ref="B19:B20"/>
    <mergeCell ref="N19:N20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Z36"/>
  <sheetViews>
    <sheetView showFormulas="false" showGridLines="false" showRowColHeaders="true" showZeros="true" rightToLeft="false" tabSelected="false" showOutlineSymbols="true" defaultGridColor="true" view="normal" topLeftCell="A21" colorId="64" zoomScale="100" zoomScaleNormal="100" zoomScalePageLayoutView="100" workbookViewId="0">
      <selection pane="topLeft" activeCell="Q8" activeCellId="0" sqref="Q8"/>
    </sheetView>
  </sheetViews>
  <sheetFormatPr defaultColWidth="10.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7" min="4" style="85" width="9.62"/>
    <col collapsed="false" customWidth="true" hidden="false" outlineLevel="0" max="18" min="18" style="85" width="10.75"/>
    <col collapsed="false" customWidth="true" hidden="false" outlineLevel="0" max="19" min="19" style="85" width="13.12"/>
    <col collapsed="false" customWidth="true" hidden="false" outlineLevel="0" max="66" min="20" style="85" width="10.75"/>
    <col collapsed="false" customWidth="true" hidden="false" outlineLevel="0" max="257" min="67" style="84" width="10.7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"&amp;Resumo!B6</f>
        <v>DESLOCAMENTO BASE GUARAPUAVA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customFormat="false" ht="15" hidden="false" customHeight="true" outlineLevel="0" collapsed="false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customFormat="false" ht="43.5" hidden="false" customHeight="true" outlineLevel="0" collapsed="false">
      <c r="B4" s="21" t="s">
        <v>106</v>
      </c>
      <c r="C4" s="21" t="str">
        <f aca="false">"Rota (saída e retorno "&amp;Resumo!B6&amp;")"</f>
        <v>Rota (saída e retorno GUARAPUAVA)</v>
      </c>
      <c r="D4" s="21" t="s">
        <v>107</v>
      </c>
      <c r="E4" s="21" t="s">
        <v>108</v>
      </c>
      <c r="F4" s="21" t="s">
        <v>109</v>
      </c>
      <c r="G4" s="21" t="s">
        <v>110</v>
      </c>
      <c r="H4" s="21" t="s">
        <v>111</v>
      </c>
      <c r="I4" s="21" t="s">
        <v>112</v>
      </c>
      <c r="J4" s="21" t="s">
        <v>113</v>
      </c>
      <c r="K4" s="21" t="s">
        <v>114</v>
      </c>
      <c r="L4" s="21" t="s">
        <v>115</v>
      </c>
      <c r="M4" s="87" t="s">
        <v>151</v>
      </c>
      <c r="N4" s="21" t="s">
        <v>117</v>
      </c>
      <c r="O4" s="21" t="s">
        <v>118</v>
      </c>
      <c r="P4" s="21" t="s">
        <v>119</v>
      </c>
      <c r="Q4" s="21" t="s">
        <v>67</v>
      </c>
      <c r="R4" s="21" t="s">
        <v>120</v>
      </c>
      <c r="S4" s="21" t="s">
        <v>121</v>
      </c>
    </row>
    <row r="5" customFormat="false" ht="15.75" hidden="false" customHeight="true" outlineLevel="0" collapsed="false">
      <c r="B5" s="144" t="n">
        <v>1</v>
      </c>
      <c r="C5" s="89" t="s">
        <v>142</v>
      </c>
      <c r="D5" s="90" t="n">
        <v>0</v>
      </c>
      <c r="E5" s="90" t="n">
        <v>0</v>
      </c>
      <c r="F5" s="90" t="n">
        <v>0</v>
      </c>
      <c r="G5" s="91" t="n">
        <v>0</v>
      </c>
      <c r="H5" s="90" t="n">
        <v>0</v>
      </c>
      <c r="I5" s="90" t="n">
        <v>0</v>
      </c>
      <c r="J5" s="90" t="n">
        <v>0</v>
      </c>
      <c r="K5" s="92" t="n">
        <f aca="false">SUM(H5:J5)</f>
        <v>0</v>
      </c>
      <c r="L5" s="93" t="n">
        <f aca="false">K5/60</f>
        <v>0</v>
      </c>
      <c r="M5" s="94" t="n">
        <v>0</v>
      </c>
      <c r="N5" s="92" t="n">
        <v>1</v>
      </c>
      <c r="O5" s="93" t="n">
        <f aca="false">L5/N5</f>
        <v>0</v>
      </c>
      <c r="P5" s="95" t="n">
        <v>0</v>
      </c>
      <c r="Q5" s="95" t="n">
        <v>0</v>
      </c>
      <c r="R5" s="96" t="str">
        <f aca="false">INDEX('Base Guarapuava'!$K$7:$K$21,MATCH('Desl. Base Guarapuava'!C5,'Base Guarapuava'!$B$7:$B$21,0))</f>
        <v>SIM</v>
      </c>
      <c r="S5" s="97" t="n">
        <v>1</v>
      </c>
    </row>
    <row r="6" customFormat="false" ht="15.75" hidden="false" customHeight="true" outlineLevel="0" collapsed="false">
      <c r="B6" s="88" t="n">
        <v>2</v>
      </c>
      <c r="C6" s="89" t="s">
        <v>143</v>
      </c>
      <c r="D6" s="90" t="n">
        <v>116</v>
      </c>
      <c r="E6" s="90" t="n">
        <f aca="false">235-D6</f>
        <v>119</v>
      </c>
      <c r="F6" s="90" t="n">
        <v>52.1</v>
      </c>
      <c r="G6" s="99" t="n">
        <f aca="false">SUM(D6:F7)</f>
        <v>287.1</v>
      </c>
      <c r="H6" s="90" t="n">
        <v>100</v>
      </c>
      <c r="I6" s="90" t="n">
        <f aca="false">207-H6</f>
        <v>107</v>
      </c>
      <c r="J6" s="90" t="n">
        <v>50</v>
      </c>
      <c r="K6" s="92" t="n">
        <f aca="false">SUM(H6:J7)</f>
        <v>257</v>
      </c>
      <c r="L6" s="100" t="n">
        <f aca="false">K6/60</f>
        <v>4.28333333333333</v>
      </c>
      <c r="M6" s="94" t="n">
        <v>0</v>
      </c>
      <c r="N6" s="92" t="n">
        <v>2</v>
      </c>
      <c r="O6" s="93" t="n">
        <f aca="false">L6/N6</f>
        <v>2.14166666666667</v>
      </c>
      <c r="P6" s="94" t="n">
        <v>0</v>
      </c>
      <c r="Q6" s="94" t="n">
        <v>0</v>
      </c>
      <c r="R6" s="96" t="str">
        <f aca="false">INDEX('Base Guarapuava'!$K$7:$K$21,MATCH('Desl. Base Guarapuava'!C6,'Base Guarapuava'!$B$7:$B$21,0))</f>
        <v>NÃO</v>
      </c>
      <c r="S6" s="97" t="n">
        <v>0</v>
      </c>
    </row>
    <row r="7" customFormat="false" ht="15.75" hidden="false" customHeight="true" outlineLevel="0" collapsed="false">
      <c r="B7" s="88"/>
      <c r="C7" s="89" t="s">
        <v>144</v>
      </c>
      <c r="D7" s="90"/>
      <c r="E7" s="90"/>
      <c r="F7" s="90"/>
      <c r="G7" s="99"/>
      <c r="H7" s="90"/>
      <c r="I7" s="90"/>
      <c r="J7" s="90"/>
      <c r="K7" s="92"/>
      <c r="L7" s="100"/>
      <c r="M7" s="94" t="n">
        <v>0</v>
      </c>
      <c r="N7" s="92"/>
      <c r="O7" s="93" t="n">
        <f aca="false">O6</f>
        <v>2.14166666666667</v>
      </c>
      <c r="P7" s="94" t="n">
        <v>0</v>
      </c>
      <c r="Q7" s="94" t="n">
        <v>0</v>
      </c>
      <c r="R7" s="96" t="str">
        <f aca="false">INDEX('Base Guarapuava'!$K$7:$K$21,MATCH('Desl. Base Guarapuava'!C7,'Base Guarapuava'!$B$7:$B$21,0))</f>
        <v>NÃO</v>
      </c>
      <c r="S7" s="97" t="n">
        <v>0</v>
      </c>
    </row>
    <row r="8" customFormat="false" ht="15.75" hidden="false" customHeight="true" outlineLevel="0" collapsed="false">
      <c r="B8" s="88" t="n">
        <v>3</v>
      </c>
      <c r="C8" s="89" t="s">
        <v>145</v>
      </c>
      <c r="D8" s="90" t="n">
        <v>88.8</v>
      </c>
      <c r="E8" s="90" t="n">
        <f aca="false">162-D8</f>
        <v>73.2</v>
      </c>
      <c r="F8" s="90" t="n">
        <v>162</v>
      </c>
      <c r="G8" s="99" t="n">
        <f aca="false">SUM(D8:F9)</f>
        <v>324</v>
      </c>
      <c r="H8" s="90" t="n">
        <v>80</v>
      </c>
      <c r="I8" s="90" t="n">
        <f aca="false">141-H8</f>
        <v>61</v>
      </c>
      <c r="J8" s="90" t="n">
        <v>141</v>
      </c>
      <c r="K8" s="92" t="n">
        <f aca="false">SUM(H8:J9)</f>
        <v>282</v>
      </c>
      <c r="L8" s="100" t="n">
        <f aca="false">K8/60</f>
        <v>4.7</v>
      </c>
      <c r="M8" s="94" t="n">
        <v>0</v>
      </c>
      <c r="N8" s="92" t="n">
        <v>2</v>
      </c>
      <c r="O8" s="93" t="n">
        <f aca="false">L8/N8</f>
        <v>2.35</v>
      </c>
      <c r="P8" s="94" t="n">
        <v>0</v>
      </c>
      <c r="Q8" s="94" t="n">
        <v>0</v>
      </c>
      <c r="R8" s="96" t="str">
        <f aca="false">INDEX('Base Guarapuava'!$K$7:$K$21,MATCH('Desl. Base Guarapuava'!C8,'Base Guarapuava'!$B$7:$B$21,0))</f>
        <v>NÃO</v>
      </c>
      <c r="S8" s="97" t="n">
        <v>1</v>
      </c>
    </row>
    <row r="9" customFormat="false" ht="15.75" hidden="false" customHeight="true" outlineLevel="0" collapsed="false">
      <c r="B9" s="88"/>
      <c r="C9" s="89" t="s">
        <v>141</v>
      </c>
      <c r="D9" s="90"/>
      <c r="E9" s="90"/>
      <c r="F9" s="90"/>
      <c r="G9" s="99"/>
      <c r="H9" s="90"/>
      <c r="I9" s="90"/>
      <c r="J9" s="90"/>
      <c r="K9" s="92"/>
      <c r="L9" s="100"/>
      <c r="M9" s="94" t="n">
        <v>0</v>
      </c>
      <c r="N9" s="92"/>
      <c r="O9" s="93" t="n">
        <f aca="false">O8</f>
        <v>2.35</v>
      </c>
      <c r="P9" s="94" t="n">
        <v>0</v>
      </c>
      <c r="Q9" s="94" t="n">
        <v>0</v>
      </c>
      <c r="R9" s="96" t="str">
        <f aca="false">INDEX('Base Guarapuava'!$K$7:$K$21,MATCH('Desl. Base Guarapuava'!C9,'Base Guarapuava'!$B$7:$B$21,0))</f>
        <v>SIM</v>
      </c>
      <c r="S9" s="97" t="n">
        <v>1</v>
      </c>
    </row>
    <row r="10" customFormat="false" ht="15.75" hidden="false" customHeight="true" outlineLevel="0" collapsed="false">
      <c r="B10" s="88" t="n">
        <v>4</v>
      </c>
      <c r="C10" s="89" t="s">
        <v>147</v>
      </c>
      <c r="D10" s="90" t="n">
        <v>68.9</v>
      </c>
      <c r="E10" s="90" t="n">
        <f aca="false">113-D10</f>
        <v>44.1</v>
      </c>
      <c r="F10" s="90" t="n">
        <v>111</v>
      </c>
      <c r="G10" s="99" t="n">
        <f aca="false">SUM(D10:F11)</f>
        <v>224</v>
      </c>
      <c r="H10" s="90" t="n">
        <v>72</v>
      </c>
      <c r="I10" s="90" t="n">
        <f aca="false">117-H10</f>
        <v>45</v>
      </c>
      <c r="J10" s="90" t="n">
        <v>108</v>
      </c>
      <c r="K10" s="92" t="n">
        <f aca="false">SUM(H10:J11)</f>
        <v>225</v>
      </c>
      <c r="L10" s="100" t="n">
        <f aca="false">K10/60</f>
        <v>3.75</v>
      </c>
      <c r="M10" s="94" t="n">
        <v>0</v>
      </c>
      <c r="N10" s="92" t="n">
        <v>2</v>
      </c>
      <c r="O10" s="93" t="n">
        <f aca="false">L10/N10</f>
        <v>1.875</v>
      </c>
      <c r="P10" s="94" t="n">
        <v>0</v>
      </c>
      <c r="Q10" s="94" t="n">
        <v>0</v>
      </c>
      <c r="R10" s="96" t="str">
        <f aca="false">INDEX('Base Guarapuava'!$K$7:$K$21,MATCH('Desl. Base Guarapuava'!C10,'Base Guarapuava'!$B$7:$B$21,0))</f>
        <v>NÃO</v>
      </c>
      <c r="S10" s="97" t="n">
        <v>0</v>
      </c>
    </row>
    <row r="11" customFormat="false" ht="15.75" hidden="false" customHeight="true" outlineLevel="0" collapsed="false">
      <c r="B11" s="88"/>
      <c r="C11" s="89" t="s">
        <v>148</v>
      </c>
      <c r="D11" s="90"/>
      <c r="E11" s="90"/>
      <c r="F11" s="90"/>
      <c r="G11" s="99"/>
      <c r="H11" s="90"/>
      <c r="I11" s="90"/>
      <c r="J11" s="90"/>
      <c r="K11" s="92"/>
      <c r="L11" s="100"/>
      <c r="M11" s="94" t="n">
        <v>0</v>
      </c>
      <c r="N11" s="92"/>
      <c r="O11" s="93" t="n">
        <f aca="false">O10</f>
        <v>1.875</v>
      </c>
      <c r="P11" s="94" t="n">
        <v>0</v>
      </c>
      <c r="Q11" s="94" t="n">
        <v>0</v>
      </c>
      <c r="R11" s="96" t="str">
        <f aca="false">INDEX('Base Guarapuava'!$K$7:$K$21,MATCH('Desl. Base Guarapuava'!C11,'Base Guarapuava'!$B$7:$B$21,0))</f>
        <v>NÃO</v>
      </c>
      <c r="S11" s="97" t="n">
        <v>0</v>
      </c>
    </row>
    <row r="12" customFormat="false" ht="15.75" hidden="false" customHeight="true" outlineLevel="0" collapsed="false">
      <c r="B12" s="88" t="n">
        <v>5</v>
      </c>
      <c r="C12" s="98" t="s">
        <v>149</v>
      </c>
      <c r="D12" s="90" t="n">
        <v>274</v>
      </c>
      <c r="E12" s="90" t="n">
        <v>23</v>
      </c>
      <c r="F12" s="90" t="n">
        <v>290</v>
      </c>
      <c r="G12" s="99" t="n">
        <f aca="false">SUM(D12:F13)</f>
        <v>587</v>
      </c>
      <c r="H12" s="90" t="n">
        <v>239</v>
      </c>
      <c r="I12" s="90" t="n">
        <v>25</v>
      </c>
      <c r="J12" s="90" t="n">
        <v>248</v>
      </c>
      <c r="K12" s="92" t="n">
        <f aca="false">SUM(H12:J13)</f>
        <v>512</v>
      </c>
      <c r="L12" s="100" t="n">
        <f aca="false">K12/60</f>
        <v>8.53333333333333</v>
      </c>
      <c r="M12" s="94" t="n">
        <v>0</v>
      </c>
      <c r="N12" s="92" t="n">
        <v>2</v>
      </c>
      <c r="O12" s="93" t="n">
        <f aca="false">L12/N12</f>
        <v>4.26666666666667</v>
      </c>
      <c r="P12" s="94" t="n">
        <v>0</v>
      </c>
      <c r="Q12" s="145" t="n">
        <f aca="false">E35/2</f>
        <v>66.37</v>
      </c>
      <c r="R12" s="96" t="str">
        <f aca="false">INDEX('Base Guarapuava'!$K$7:$K$21,MATCH('Desl. Base Guarapuava'!C12,'Base Guarapuava'!$B$7:$B$21,0))</f>
        <v>NÃO</v>
      </c>
      <c r="S12" s="97" t="n">
        <v>0</v>
      </c>
    </row>
    <row r="13" customFormat="false" ht="15.75" hidden="false" customHeight="true" outlineLevel="0" collapsed="false">
      <c r="B13" s="88"/>
      <c r="C13" s="98" t="s">
        <v>150</v>
      </c>
      <c r="D13" s="90"/>
      <c r="E13" s="90"/>
      <c r="F13" s="90"/>
      <c r="G13" s="99"/>
      <c r="H13" s="90"/>
      <c r="I13" s="90"/>
      <c r="J13" s="90"/>
      <c r="K13" s="92"/>
      <c r="L13" s="100"/>
      <c r="M13" s="94" t="n">
        <v>0</v>
      </c>
      <c r="N13" s="92"/>
      <c r="O13" s="93" t="n">
        <f aca="false">O12</f>
        <v>4.26666666666667</v>
      </c>
      <c r="P13" s="94" t="n">
        <v>0</v>
      </c>
      <c r="Q13" s="146" t="n">
        <f aca="false">E35/2</f>
        <v>66.37</v>
      </c>
      <c r="R13" s="96" t="str">
        <f aca="false">INDEX('Base Guarapuava'!$K$7:$K$21,MATCH('Desl. Base Guarapuava'!C13,'Base Guarapuava'!$B$7:$B$21,0))</f>
        <v>NÃO</v>
      </c>
      <c r="S13" s="97" t="n">
        <v>0</v>
      </c>
    </row>
    <row r="14" customFormat="false" ht="15.75" hidden="false" customHeight="true" outlineLevel="0" collapsed="false">
      <c r="B14" s="88" t="n">
        <v>6</v>
      </c>
      <c r="C14" s="98" t="s">
        <v>146</v>
      </c>
      <c r="D14" s="90" t="n">
        <v>262</v>
      </c>
      <c r="E14" s="90" t="n">
        <v>262</v>
      </c>
      <c r="F14" s="90" t="n">
        <v>0</v>
      </c>
      <c r="G14" s="99" t="n">
        <f aca="false">SUM(D14:F14)</f>
        <v>524</v>
      </c>
      <c r="H14" s="90" t="n">
        <v>219</v>
      </c>
      <c r="I14" s="90" t="n">
        <v>219</v>
      </c>
      <c r="J14" s="90" t="n">
        <v>0</v>
      </c>
      <c r="K14" s="92" t="n">
        <f aca="false">SUM(H14:J14)</f>
        <v>438</v>
      </c>
      <c r="L14" s="93" t="n">
        <f aca="false">K14/60</f>
        <v>7.3</v>
      </c>
      <c r="M14" s="94" t="n">
        <v>0</v>
      </c>
      <c r="N14" s="92" t="n">
        <v>1</v>
      </c>
      <c r="O14" s="93" t="n">
        <f aca="false">L14/N14</f>
        <v>7.3</v>
      </c>
      <c r="P14" s="95" t="n">
        <v>0</v>
      </c>
      <c r="Q14" s="95" t="n">
        <f aca="false">E35</f>
        <v>132.74</v>
      </c>
      <c r="R14" s="96" t="str">
        <f aca="false">INDEX('Base Guarapuava'!$K$7:$K$21,MATCH('Desl. Base Guarapuava'!C14,'Base Guarapuava'!$B$7:$B$21,0))</f>
        <v>SIM</v>
      </c>
      <c r="S14" s="97" t="n">
        <v>1</v>
      </c>
    </row>
    <row r="15" customFormat="false" ht="21" hidden="false" customHeight="true" outlineLevel="0" collapsed="false">
      <c r="B15" s="101" t="s">
        <v>102</v>
      </c>
      <c r="C15" s="101"/>
      <c r="D15" s="101"/>
      <c r="E15" s="101"/>
      <c r="F15" s="101"/>
      <c r="G15" s="103" t="n">
        <f aca="false">SUM(G5:G14)</f>
        <v>1946.1</v>
      </c>
      <c r="H15" s="103" t="s">
        <v>102</v>
      </c>
      <c r="I15" s="103"/>
      <c r="J15" s="103"/>
      <c r="K15" s="104" t="n">
        <f aca="false">SUM(K5:K14)</f>
        <v>1714</v>
      </c>
      <c r="L15" s="103" t="n">
        <f aca="false">SUM(L5:L14)</f>
        <v>28.5666666666667</v>
      </c>
      <c r="M15" s="106" t="n">
        <f aca="false">SUM(M5:M14)</f>
        <v>0</v>
      </c>
      <c r="N15" s="104" t="n">
        <f aca="false">SUM(N5:N14)</f>
        <v>10</v>
      </c>
      <c r="O15" s="103"/>
      <c r="P15" s="106"/>
      <c r="Q15" s="106" t="n">
        <f aca="false">SUM(Q5:Q14)</f>
        <v>265.48</v>
      </c>
    </row>
    <row r="16" customFormat="false" ht="15.75" hidden="false" customHeight="true" outlineLevel="0" collapsed="false">
      <c r="B16" s="108"/>
      <c r="C16" s="108"/>
      <c r="D16" s="108"/>
      <c r="E16" s="108"/>
      <c r="F16" s="84"/>
      <c r="G16" s="84"/>
      <c r="H16" s="84"/>
      <c r="I16" s="84"/>
      <c r="J16" s="84"/>
      <c r="K16" s="84"/>
      <c r="L16" s="84"/>
      <c r="M16" s="84"/>
      <c r="N16" s="84"/>
    </row>
    <row r="17" customFormat="false" ht="18.75" hidden="false" customHeight="true" outlineLevel="0" collapsed="false">
      <c r="B17" s="109" t="s">
        <v>122</v>
      </c>
      <c r="C17" s="109"/>
      <c r="D17" s="109"/>
      <c r="E17" s="109"/>
      <c r="F17" s="108"/>
      <c r="G17" s="108"/>
      <c r="H17" s="108"/>
      <c r="I17" s="108"/>
      <c r="J17" s="108"/>
      <c r="K17" s="108"/>
      <c r="L17" s="108"/>
      <c r="M17" s="108"/>
      <c r="N17" s="108"/>
    </row>
    <row r="18" customFormat="false" ht="18.75" hidden="false" customHeight="true" outlineLevel="0" collapsed="false">
      <c r="B18" s="131" t="s">
        <v>123</v>
      </c>
      <c r="C18" s="131" t="s">
        <v>124</v>
      </c>
      <c r="D18" s="131" t="s">
        <v>125</v>
      </c>
      <c r="E18" s="131" t="s">
        <v>126</v>
      </c>
      <c r="F18" s="108"/>
      <c r="G18" s="110"/>
      <c r="H18" s="110"/>
      <c r="I18" s="108"/>
      <c r="J18" s="108"/>
      <c r="K18" s="108"/>
      <c r="L18" s="108"/>
      <c r="M18" s="108"/>
      <c r="N18" s="108"/>
    </row>
    <row r="19" customFormat="false" ht="18.75" hidden="false" customHeight="true" outlineLevel="0" collapsed="false">
      <c r="B19" s="48" t="s">
        <v>127</v>
      </c>
      <c r="C19" s="112" t="s">
        <v>128</v>
      </c>
      <c r="D19" s="48" t="s">
        <v>129</v>
      </c>
      <c r="E19" s="113" t="n">
        <f aca="false">'Desl. Base Londrina'!E24</f>
        <v>52.69</v>
      </c>
      <c r="F19" s="108"/>
      <c r="G19" s="114"/>
      <c r="H19" s="114"/>
      <c r="I19" s="108"/>
      <c r="J19" s="108"/>
      <c r="K19" s="147"/>
      <c r="L19" s="147"/>
    </row>
    <row r="20" customFormat="false" ht="18.75" hidden="false" customHeight="true" outlineLevel="0" collapsed="false">
      <c r="B20" s="115" t="s">
        <v>130</v>
      </c>
      <c r="C20" s="116" t="s">
        <v>128</v>
      </c>
      <c r="D20" s="115" t="s">
        <v>131</v>
      </c>
      <c r="E20" s="117" t="n">
        <f aca="false">'Desl. Base Londrina'!E25</f>
        <v>6.95</v>
      </c>
      <c r="F20" s="108"/>
      <c r="G20" s="114"/>
      <c r="H20" s="114"/>
      <c r="I20" s="108"/>
      <c r="J20" s="108"/>
      <c r="K20" s="147"/>
      <c r="L20" s="147"/>
    </row>
    <row r="21" customFormat="false" ht="47.25" hidden="false" customHeight="true" outlineLevel="0" collapsed="false">
      <c r="B21" s="118" t="s">
        <v>132</v>
      </c>
      <c r="C21" s="118"/>
      <c r="D21" s="118"/>
      <c r="E21" s="118"/>
      <c r="F21" s="119"/>
      <c r="G21" s="119"/>
      <c r="H21" s="119"/>
      <c r="I21" s="119"/>
      <c r="J21" s="119"/>
      <c r="K21" s="119"/>
      <c r="L21" s="147"/>
    </row>
    <row r="22" customFormat="false" ht="18.75" hidden="false" customHeight="true" outlineLevel="0" collapsed="false">
      <c r="B22" s="120"/>
      <c r="C22" s="120"/>
      <c r="D22" s="120"/>
      <c r="E22" s="120"/>
      <c r="F22" s="119"/>
      <c r="G22" s="119"/>
      <c r="H22" s="119"/>
      <c r="I22" s="119"/>
      <c r="J22" s="119"/>
      <c r="K22" s="119"/>
      <c r="L22" s="147"/>
    </row>
    <row r="23" customFormat="false" ht="15.75" hidden="false" customHeight="true" outlineLevel="0" collapsed="false">
      <c r="B23" s="109" t="s">
        <v>133</v>
      </c>
      <c r="C23" s="109"/>
      <c r="D23" s="108"/>
      <c r="E23" s="108"/>
      <c r="F23" s="108"/>
      <c r="G23" s="108"/>
      <c r="H23" s="108"/>
      <c r="I23" s="108"/>
      <c r="J23" s="108"/>
      <c r="K23" s="108"/>
      <c r="L23" s="108"/>
    </row>
    <row r="24" customFormat="false" ht="15.75" hidden="false" customHeight="true" outlineLevel="0" collapsed="false">
      <c r="B24" s="148" t="s">
        <v>129</v>
      </c>
      <c r="C24" s="149" t="n">
        <f aca="false">E19*L15</f>
        <v>1505.17766666667</v>
      </c>
      <c r="D24" s="108"/>
      <c r="E24" s="108"/>
      <c r="F24" s="108"/>
      <c r="G24" s="108"/>
      <c r="H24" s="108"/>
      <c r="I24" s="108"/>
      <c r="J24" s="108"/>
    </row>
    <row r="25" customFormat="false" ht="15.75" hidden="false" customHeight="true" outlineLevel="0" collapsed="false">
      <c r="B25" s="48" t="s">
        <v>131</v>
      </c>
      <c r="C25" s="113" t="n">
        <f aca="false">E20*('Base Guarapuava'!N17/12)</f>
        <v>223.4425</v>
      </c>
      <c r="D25" s="108"/>
      <c r="E25" s="108"/>
      <c r="F25" s="108"/>
      <c r="G25" s="108"/>
      <c r="H25" s="108"/>
      <c r="I25" s="108"/>
      <c r="J25" s="108"/>
    </row>
    <row r="26" customFormat="false" ht="15.75" hidden="false" customHeight="true" outlineLevel="0" collapsed="false">
      <c r="B26" s="121" t="s">
        <v>28</v>
      </c>
      <c r="C26" s="122" t="n">
        <f aca="false">C24+C25</f>
        <v>1728.62016666667</v>
      </c>
      <c r="D26" s="108"/>
      <c r="E26" s="108"/>
      <c r="F26" s="108"/>
      <c r="G26" s="108"/>
      <c r="H26" s="108"/>
      <c r="I26" s="84"/>
      <c r="J26" s="84"/>
    </row>
    <row r="27" customFormat="false" ht="15.75" hidden="false" customHeight="true" outlineLevel="0" collapsed="false">
      <c r="B27" s="150"/>
      <c r="C27" s="150"/>
      <c r="D27" s="108"/>
      <c r="H27" s="84"/>
      <c r="I27" s="84"/>
    </row>
    <row r="28" customFormat="false" ht="15.75" hidden="false" customHeight="true" outlineLevel="0" collapsed="false">
      <c r="B28" s="124" t="s">
        <v>134</v>
      </c>
      <c r="C28" s="124"/>
      <c r="D28" s="108"/>
      <c r="H28" s="84"/>
      <c r="I28" s="84"/>
    </row>
    <row r="29" customFormat="false" ht="15.75" hidden="false" customHeight="true" outlineLevel="0" collapsed="false">
      <c r="B29" s="131" t="s">
        <v>126</v>
      </c>
      <c r="C29" s="126" t="n">
        <f aca="false">SUM(M5:M14)</f>
        <v>0</v>
      </c>
      <c r="I29" s="108"/>
    </row>
    <row r="30" customFormat="false" ht="13.5" hidden="false" customHeight="false" outlineLevel="0" collapsed="false">
      <c r="B30" s="84"/>
      <c r="C30" s="84"/>
      <c r="D30" s="84"/>
    </row>
    <row r="31" customFormat="false" ht="13.5" hidden="false" customHeight="false" outlineLevel="0" collapsed="false">
      <c r="B31" s="128" t="s">
        <v>135</v>
      </c>
      <c r="C31" s="129"/>
      <c r="D31" s="84"/>
    </row>
    <row r="32" customFormat="false" ht="13.5" hidden="false" customHeight="false" outlineLevel="0" collapsed="false">
      <c r="B32" s="114"/>
      <c r="C32" s="108"/>
      <c r="D32" s="108"/>
    </row>
    <row r="33" customFormat="false" ht="13.5" hidden="false" customHeight="false" outlineLevel="0" collapsed="false">
      <c r="B33" s="130" t="s">
        <v>67</v>
      </c>
      <c r="C33" s="130"/>
      <c r="D33" s="130"/>
      <c r="E33" s="130"/>
      <c r="F33" s="84"/>
      <c r="G33" s="84"/>
      <c r="H33" s="84"/>
      <c r="I33" s="84"/>
      <c r="J33" s="84"/>
      <c r="K33" s="84"/>
      <c r="L33" s="84"/>
      <c r="M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  <c r="AK33" s="84"/>
      <c r="AL33" s="84"/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IX33" s="84"/>
      <c r="IY33" s="84"/>
      <c r="IZ33" s="84"/>
    </row>
    <row r="34" customFormat="false" ht="13.5" hidden="false" customHeight="false" outlineLevel="0" collapsed="false">
      <c r="B34" s="131" t="s">
        <v>136</v>
      </c>
      <c r="C34" s="131" t="s">
        <v>124</v>
      </c>
      <c r="D34" s="131" t="s">
        <v>125</v>
      </c>
      <c r="E34" s="131" t="s">
        <v>126</v>
      </c>
      <c r="F34" s="84"/>
      <c r="G34" s="84"/>
      <c r="H34" s="84"/>
      <c r="I34" s="84"/>
      <c r="J34" s="84"/>
      <c r="K34" s="84"/>
      <c r="L34" s="84"/>
      <c r="M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IX34" s="84"/>
      <c r="IY34" s="84"/>
      <c r="IZ34" s="84"/>
    </row>
    <row r="35" customFormat="false" ht="26.25" hidden="false" customHeight="false" outlineLevel="0" collapsed="false">
      <c r="B35" s="115" t="s">
        <v>137</v>
      </c>
      <c r="C35" s="132" t="s">
        <v>138</v>
      </c>
      <c r="D35" s="115" t="s">
        <v>139</v>
      </c>
      <c r="E35" s="117" t="n">
        <v>132.74</v>
      </c>
      <c r="F35" s="84"/>
      <c r="G35" s="84"/>
      <c r="H35" s="84"/>
      <c r="I35" s="84"/>
      <c r="J35" s="84"/>
      <c r="K35" s="84"/>
      <c r="L35" s="84"/>
      <c r="M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  <c r="BM35" s="84"/>
      <c r="BN35" s="84"/>
      <c r="IX35" s="84"/>
      <c r="IY35" s="84"/>
      <c r="IZ35" s="84"/>
    </row>
    <row r="36" customFormat="false" ht="13.5" hidden="false" customHeight="false" outlineLevel="0" collapsed="false">
      <c r="B36" s="133" t="s">
        <v>140</v>
      </c>
      <c r="C36" s="133"/>
      <c r="D36" s="133"/>
      <c r="E36" s="133"/>
      <c r="F36" s="84"/>
      <c r="G36" s="84"/>
      <c r="H36" s="84"/>
      <c r="I36" s="84"/>
      <c r="J36" s="84"/>
      <c r="K36" s="84"/>
      <c r="L36" s="84"/>
      <c r="M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IX36" s="84"/>
      <c r="IY36" s="84"/>
      <c r="IZ36" s="84"/>
    </row>
  </sheetData>
  <mergeCells count="53">
    <mergeCell ref="B2:S2"/>
    <mergeCell ref="B6:B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N6:N7"/>
    <mergeCell ref="B8:B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  <mergeCell ref="B10:B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N10:N11"/>
    <mergeCell ref="B12:B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B15:F15"/>
    <mergeCell ref="H15:J15"/>
    <mergeCell ref="B17:E17"/>
    <mergeCell ref="B21:E21"/>
    <mergeCell ref="B23:C23"/>
    <mergeCell ref="B28:C28"/>
    <mergeCell ref="B33:E33"/>
    <mergeCell ref="B36:E36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32" activeCellId="0" sqref="G32"/>
    </sheetView>
  </sheetViews>
  <sheetFormatPr defaultColWidth="8.625" defaultRowHeight="13.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1" t="s">
        <v>152</v>
      </c>
      <c r="C2" s="151"/>
      <c r="D2" s="151"/>
      <c r="E2" s="151"/>
      <c r="F2" s="151"/>
      <c r="G2" s="151"/>
      <c r="H2" s="151"/>
      <c r="I2" s="151"/>
    </row>
    <row r="3" customFormat="false" ht="21" hidden="false" customHeight="true" outlineLevel="0" collapsed="false"/>
    <row r="4" customFormat="false" ht="16.5" hidden="false" customHeight="true" outlineLevel="0" collapsed="false">
      <c r="B4" s="152" t="s">
        <v>153</v>
      </c>
      <c r="C4" s="152"/>
      <c r="D4" s="152"/>
      <c r="E4" s="152"/>
      <c r="F4" s="152"/>
      <c r="G4" s="152"/>
      <c r="H4" s="152"/>
      <c r="I4" s="152"/>
    </row>
    <row r="5" customFormat="false" ht="16.5" hidden="false" customHeight="true" outlineLevel="0" collapsed="false">
      <c r="B5" s="153" t="s">
        <v>154</v>
      </c>
      <c r="C5" s="153"/>
      <c r="D5" s="154" t="s">
        <v>155</v>
      </c>
      <c r="E5" s="154"/>
      <c r="F5" s="154"/>
      <c r="G5" s="154"/>
      <c r="H5" s="154"/>
      <c r="I5" s="154"/>
    </row>
    <row r="6" customFormat="false" ht="16.5" hidden="false" customHeight="true" outlineLevel="0" collapsed="false">
      <c r="B6" s="153" t="s">
        <v>124</v>
      </c>
      <c r="C6" s="153"/>
      <c r="D6" s="154" t="s">
        <v>156</v>
      </c>
      <c r="E6" s="154"/>
      <c r="F6" s="154"/>
      <c r="G6" s="154"/>
      <c r="H6" s="154"/>
      <c r="I6" s="154"/>
    </row>
    <row r="7" customFormat="false" ht="16.5" hidden="false" customHeight="true" outlineLevel="0" collapsed="false">
      <c r="B7" s="153" t="s">
        <v>157</v>
      </c>
      <c r="C7" s="153"/>
      <c r="D7" s="155" t="s">
        <v>158</v>
      </c>
      <c r="E7" s="155"/>
      <c r="F7" s="155"/>
      <c r="G7" s="155"/>
      <c r="H7" s="155"/>
      <c r="I7" s="155"/>
    </row>
    <row r="8" customFormat="false" ht="16.5" hidden="false" customHeight="true" outlineLevel="0" collapsed="false">
      <c r="B8" s="153" t="s">
        <v>159</v>
      </c>
      <c r="C8" s="153"/>
      <c r="D8" s="154" t="s">
        <v>160</v>
      </c>
      <c r="E8" s="154"/>
      <c r="F8" s="154"/>
      <c r="G8" s="154"/>
      <c r="H8" s="154"/>
      <c r="I8" s="154"/>
    </row>
    <row r="9" customFormat="false" ht="16.5" hidden="false" customHeight="true" outlineLevel="0" collapsed="false">
      <c r="B9" s="153" t="s">
        <v>161</v>
      </c>
      <c r="C9" s="153"/>
      <c r="D9" s="154" t="s">
        <v>162</v>
      </c>
      <c r="E9" s="154"/>
      <c r="F9" s="154"/>
      <c r="G9" s="154"/>
      <c r="H9" s="154"/>
      <c r="I9" s="154"/>
    </row>
    <row r="10" customFormat="false" ht="16.5" hidden="false" customHeight="true" outlineLevel="0" collapsed="false">
      <c r="B10" s="153" t="s">
        <v>125</v>
      </c>
      <c r="C10" s="153"/>
      <c r="D10" s="154" t="s">
        <v>129</v>
      </c>
      <c r="E10" s="154"/>
      <c r="F10" s="154"/>
      <c r="G10" s="154"/>
      <c r="H10" s="154"/>
      <c r="I10" s="154"/>
    </row>
    <row r="11" customFormat="false" ht="23.25" hidden="false" customHeight="true" outlineLevel="0" collapsed="false">
      <c r="B11" s="156" t="s">
        <v>163</v>
      </c>
      <c r="C11" s="156"/>
      <c r="D11" s="157" t="n">
        <f aca="false">SUM(I14:I18)</f>
        <v>52.69</v>
      </c>
      <c r="E11" s="157"/>
      <c r="F11" s="157"/>
      <c r="G11" s="157"/>
      <c r="H11" s="157"/>
      <c r="I11" s="157"/>
    </row>
    <row r="12" customFormat="false" ht="15.75" hidden="false" customHeight="true" outlineLevel="0" collapsed="false">
      <c r="B12" s="158"/>
      <c r="C12" s="158"/>
      <c r="D12" s="159"/>
      <c r="E12" s="159"/>
      <c r="F12" s="159"/>
      <c r="G12" s="159"/>
      <c r="H12" s="159"/>
      <c r="I12" s="159"/>
    </row>
    <row r="13" customFormat="false" ht="29.25" hidden="false" customHeight="true" outlineLevel="0" collapsed="false">
      <c r="B13" s="160"/>
      <c r="C13" s="160" t="s">
        <v>164</v>
      </c>
      <c r="D13" s="160" t="s">
        <v>124</v>
      </c>
      <c r="E13" s="160" t="s">
        <v>161</v>
      </c>
      <c r="F13" s="160" t="s">
        <v>125</v>
      </c>
      <c r="G13" s="160" t="s">
        <v>163</v>
      </c>
      <c r="H13" s="160" t="s">
        <v>165</v>
      </c>
      <c r="I13" s="160" t="s">
        <v>163</v>
      </c>
    </row>
    <row r="14" customFormat="false" ht="27.75" hidden="false" customHeight="true" outlineLevel="0" collapsed="false">
      <c r="B14" s="161" t="s">
        <v>166</v>
      </c>
      <c r="C14" s="161" t="s">
        <v>167</v>
      </c>
      <c r="D14" s="162" t="s">
        <v>168</v>
      </c>
      <c r="E14" s="162" t="s">
        <v>162</v>
      </c>
      <c r="F14" s="161" t="s">
        <v>169</v>
      </c>
      <c r="G14" s="163" t="n">
        <v>4.86</v>
      </c>
      <c r="H14" s="163" t="s">
        <v>170</v>
      </c>
      <c r="I14" s="163" t="n">
        <f aca="false">G14*H14</f>
        <v>4.86</v>
      </c>
    </row>
    <row r="15" customFormat="false" ht="27.75" hidden="false" customHeight="true" outlineLevel="0" collapsed="false">
      <c r="B15" s="161" t="s">
        <v>166</v>
      </c>
      <c r="C15" s="161" t="s">
        <v>171</v>
      </c>
      <c r="D15" s="162" t="s">
        <v>172</v>
      </c>
      <c r="E15" s="162" t="s">
        <v>162</v>
      </c>
      <c r="F15" s="161" t="s">
        <v>169</v>
      </c>
      <c r="G15" s="163" t="n">
        <v>1.49</v>
      </c>
      <c r="H15" s="163" t="s">
        <v>170</v>
      </c>
      <c r="I15" s="163" t="n">
        <f aca="false">G15*H15</f>
        <v>1.49</v>
      </c>
    </row>
    <row r="16" customFormat="false" ht="42" hidden="false" customHeight="true" outlineLevel="0" collapsed="false">
      <c r="B16" s="161" t="s">
        <v>166</v>
      </c>
      <c r="C16" s="161" t="s">
        <v>173</v>
      </c>
      <c r="D16" s="162" t="s">
        <v>174</v>
      </c>
      <c r="E16" s="162" t="s">
        <v>162</v>
      </c>
      <c r="F16" s="161" t="s">
        <v>169</v>
      </c>
      <c r="G16" s="163" t="n">
        <v>0.6</v>
      </c>
      <c r="H16" s="163" t="s">
        <v>170</v>
      </c>
      <c r="I16" s="163" t="n">
        <f aca="false">G16*H16</f>
        <v>0.6</v>
      </c>
    </row>
    <row r="17" customFormat="false" ht="27.75" hidden="false" customHeight="true" outlineLevel="0" collapsed="false">
      <c r="B17" s="161" t="s">
        <v>166</v>
      </c>
      <c r="C17" s="161" t="s">
        <v>175</v>
      </c>
      <c r="D17" s="162" t="s">
        <v>176</v>
      </c>
      <c r="E17" s="162" t="s">
        <v>162</v>
      </c>
      <c r="F17" s="161" t="s">
        <v>169</v>
      </c>
      <c r="G17" s="163" t="n">
        <v>6.07</v>
      </c>
      <c r="H17" s="163" t="s">
        <v>170</v>
      </c>
      <c r="I17" s="163" t="n">
        <f aca="false">G17*H17</f>
        <v>6.07</v>
      </c>
    </row>
    <row r="18" customFormat="false" ht="42" hidden="false" customHeight="true" outlineLevel="0" collapsed="false">
      <c r="B18" s="161" t="s">
        <v>166</v>
      </c>
      <c r="C18" s="161" t="s">
        <v>177</v>
      </c>
      <c r="D18" s="162" t="s">
        <v>178</v>
      </c>
      <c r="E18" s="162" t="s">
        <v>162</v>
      </c>
      <c r="F18" s="161" t="s">
        <v>169</v>
      </c>
      <c r="G18" s="163" t="n">
        <v>39.67</v>
      </c>
      <c r="H18" s="163" t="s">
        <v>170</v>
      </c>
      <c r="I18" s="163" t="n">
        <f aca="false">G18*H18</f>
        <v>39.67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51" t="s">
        <v>179</v>
      </c>
      <c r="C20" s="151"/>
      <c r="D20" s="151"/>
      <c r="E20" s="151"/>
      <c r="F20" s="151"/>
      <c r="G20" s="151"/>
      <c r="H20" s="151"/>
      <c r="I20" s="151"/>
    </row>
    <row r="21" customFormat="false" ht="16.5" hidden="false" customHeight="true" outlineLevel="0" collapsed="false">
      <c r="B21" s="156" t="s">
        <v>154</v>
      </c>
      <c r="C21" s="156"/>
      <c r="D21" s="164" t="s">
        <v>180</v>
      </c>
      <c r="E21" s="164"/>
      <c r="F21" s="164"/>
      <c r="G21" s="164"/>
      <c r="H21" s="164"/>
      <c r="I21" s="164"/>
    </row>
    <row r="22" customFormat="false" ht="16.5" hidden="false" customHeight="true" outlineLevel="0" collapsed="false">
      <c r="B22" s="156" t="s">
        <v>124</v>
      </c>
      <c r="C22" s="156"/>
      <c r="D22" s="164" t="s">
        <v>181</v>
      </c>
      <c r="E22" s="164"/>
      <c r="F22" s="164"/>
      <c r="G22" s="164"/>
      <c r="H22" s="164"/>
      <c r="I22" s="164"/>
    </row>
    <row r="23" customFormat="false" ht="16.5" hidden="false" customHeight="true" outlineLevel="0" collapsed="false">
      <c r="B23" s="156" t="s">
        <v>157</v>
      </c>
      <c r="C23" s="156"/>
      <c r="D23" s="165" t="str">
        <f aca="false">D7</f>
        <v>09/2023</v>
      </c>
      <c r="E23" s="165"/>
      <c r="F23" s="165"/>
      <c r="G23" s="165"/>
      <c r="H23" s="165"/>
      <c r="I23" s="165"/>
    </row>
    <row r="24" customFormat="false" ht="16.5" hidden="false" customHeight="true" outlineLevel="0" collapsed="false">
      <c r="B24" s="156" t="s">
        <v>159</v>
      </c>
      <c r="C24" s="156"/>
      <c r="D24" s="164" t="str">
        <f aca="false">D8</f>
        <v>Paraná</v>
      </c>
      <c r="E24" s="164"/>
      <c r="F24" s="164"/>
      <c r="G24" s="164"/>
      <c r="H24" s="164"/>
      <c r="I24" s="164"/>
    </row>
    <row r="25" customFormat="false" ht="16.5" hidden="false" customHeight="true" outlineLevel="0" collapsed="false">
      <c r="B25" s="156" t="s">
        <v>161</v>
      </c>
      <c r="C25" s="156"/>
      <c r="D25" s="164" t="s">
        <v>162</v>
      </c>
      <c r="E25" s="164"/>
      <c r="F25" s="164"/>
      <c r="G25" s="164"/>
      <c r="H25" s="164"/>
      <c r="I25" s="164"/>
    </row>
    <row r="26" customFormat="false" ht="16.5" hidden="false" customHeight="true" outlineLevel="0" collapsed="false">
      <c r="B26" s="156" t="s">
        <v>125</v>
      </c>
      <c r="C26" s="156"/>
      <c r="D26" s="164" t="s">
        <v>131</v>
      </c>
      <c r="E26" s="164"/>
      <c r="F26" s="164"/>
      <c r="G26" s="164"/>
      <c r="H26" s="164"/>
      <c r="I26" s="164"/>
    </row>
    <row r="27" customFormat="false" ht="23.25" hidden="false" customHeight="true" outlineLevel="0" collapsed="false">
      <c r="B27" s="156" t="s">
        <v>163</v>
      </c>
      <c r="C27" s="156"/>
      <c r="D27" s="166" t="n">
        <f aca="false">SUM(I30:I32)</f>
        <v>6.95</v>
      </c>
      <c r="E27" s="166"/>
      <c r="F27" s="166"/>
      <c r="G27" s="166"/>
      <c r="H27" s="166"/>
      <c r="I27" s="166"/>
    </row>
    <row r="28" customFormat="false" ht="15.75" hidden="false" customHeight="true" outlineLevel="0" collapsed="false">
      <c r="B28" s="158"/>
      <c r="C28" s="158"/>
      <c r="D28" s="159"/>
      <c r="E28" s="159"/>
      <c r="F28" s="159"/>
      <c r="G28" s="159"/>
      <c r="H28" s="159"/>
      <c r="I28" s="159"/>
    </row>
    <row r="29" customFormat="false" ht="29.25" hidden="false" customHeight="true" outlineLevel="0" collapsed="false">
      <c r="B29" s="160"/>
      <c r="C29" s="160" t="s">
        <v>164</v>
      </c>
      <c r="D29" s="160" t="s">
        <v>124</v>
      </c>
      <c r="E29" s="160" t="s">
        <v>161</v>
      </c>
      <c r="F29" s="160" t="s">
        <v>125</v>
      </c>
      <c r="G29" s="160" t="s">
        <v>163</v>
      </c>
      <c r="H29" s="160" t="s">
        <v>165</v>
      </c>
      <c r="I29" s="160" t="s">
        <v>163</v>
      </c>
    </row>
    <row r="30" customFormat="false" ht="27.75" hidden="false" customHeight="true" outlineLevel="0" collapsed="false">
      <c r="B30" s="161" t="s">
        <v>166</v>
      </c>
      <c r="C30" s="161" t="s">
        <v>167</v>
      </c>
      <c r="D30" s="162" t="s">
        <v>168</v>
      </c>
      <c r="E30" s="162" t="s">
        <v>162</v>
      </c>
      <c r="F30" s="161" t="s">
        <v>169</v>
      </c>
      <c r="G30" s="163" t="n">
        <f aca="false">G14</f>
        <v>4.86</v>
      </c>
      <c r="H30" s="167" t="s">
        <v>170</v>
      </c>
      <c r="I30" s="163" t="n">
        <f aca="false">G30*H30</f>
        <v>4.86</v>
      </c>
    </row>
    <row r="31" customFormat="false" ht="27.75" hidden="false" customHeight="true" outlineLevel="0" collapsed="false">
      <c r="B31" s="161" t="s">
        <v>166</v>
      </c>
      <c r="C31" s="161" t="s">
        <v>171</v>
      </c>
      <c r="D31" s="162" t="s">
        <v>172</v>
      </c>
      <c r="E31" s="162" t="s">
        <v>162</v>
      </c>
      <c r="F31" s="161" t="s">
        <v>169</v>
      </c>
      <c r="G31" s="163" t="n">
        <f aca="false">G15</f>
        <v>1.49</v>
      </c>
      <c r="H31" s="167" t="s">
        <v>170</v>
      </c>
      <c r="I31" s="163" t="n">
        <f aca="false">G31*H31</f>
        <v>1.49</v>
      </c>
    </row>
    <row r="32" customFormat="false" ht="42" hidden="false" customHeight="true" outlineLevel="0" collapsed="false">
      <c r="B32" s="161" t="s">
        <v>166</v>
      </c>
      <c r="C32" s="161" t="s">
        <v>173</v>
      </c>
      <c r="D32" s="162" t="s">
        <v>174</v>
      </c>
      <c r="E32" s="162" t="s">
        <v>162</v>
      </c>
      <c r="F32" s="161" t="s">
        <v>169</v>
      </c>
      <c r="G32" s="163" t="n">
        <f aca="false">G16</f>
        <v>0.6</v>
      </c>
      <c r="H32" s="167" t="s">
        <v>170</v>
      </c>
      <c r="I32" s="163" t="n">
        <f aca="false">G32*H32</f>
        <v>0.6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2734375" defaultRowHeight="13.8" zeroHeight="false" outlineLevelRow="0" outlineLevelCol="0"/>
  <cols>
    <col collapsed="false" customWidth="true" hidden="false" outlineLevel="0" max="1" min="1" style="168" width="5.2"/>
    <col collapsed="false" customWidth="true" hidden="false" outlineLevel="0" max="2" min="2" style="168" width="34.96"/>
    <col collapsed="false" customWidth="true" hidden="false" outlineLevel="0" max="3" min="3" style="168" width="28.85"/>
    <col collapsed="false" customWidth="true" hidden="false" outlineLevel="0" max="4" min="4" style="168" width="15.6"/>
    <col collapsed="false" customWidth="true" hidden="false" outlineLevel="0" max="5" min="5" style="168" width="7.79"/>
    <col collapsed="false" customWidth="false" hidden="false" outlineLevel="0" max="6" min="6" style="168" width="10.53"/>
  </cols>
  <sheetData>
    <row r="1" customFormat="false" ht="15" hidden="false" customHeight="true" outlineLevel="0" collapsed="false"/>
    <row r="2" customFormat="false" ht="15" hidden="false" customHeight="true" outlineLevel="0" collapsed="false">
      <c r="C2" s="169" t="s">
        <v>182</v>
      </c>
    </row>
    <row r="3" customFormat="false" ht="15" hidden="false" customHeight="true" outlineLevel="0" collapsed="false">
      <c r="B3" s="170" t="s">
        <v>183</v>
      </c>
      <c r="C3" s="169" t="s">
        <v>184</v>
      </c>
    </row>
    <row r="4" customFormat="false" ht="15" hidden="false" customHeight="true" outlineLevel="0" collapsed="false">
      <c r="B4" s="170" t="s">
        <v>185</v>
      </c>
      <c r="C4" s="171" t="s">
        <v>186</v>
      </c>
    </row>
    <row r="5" customFormat="false" ht="15" hidden="false" customHeight="true" outlineLevel="0" collapsed="false">
      <c r="B5" s="170" t="s">
        <v>187</v>
      </c>
      <c r="C5" s="171" t="n">
        <v>45200</v>
      </c>
    </row>
    <row r="6" customFormat="false" ht="15" hidden="false" customHeight="true" outlineLevel="0" collapsed="false">
      <c r="B6" s="170" t="s">
        <v>188</v>
      </c>
      <c r="C6" s="172" t="n">
        <v>56.25</v>
      </c>
    </row>
    <row r="7" customFormat="false" ht="12.8" hidden="false" customHeight="false" outlineLevel="0" collapsed="false">
      <c r="B7" s="173"/>
      <c r="C7" s="174"/>
    </row>
    <row r="8" customFormat="false" ht="27.75" hidden="false" customHeight="true" outlineLevel="0" collapsed="false">
      <c r="B8" s="175" t="s">
        <v>189</v>
      </c>
      <c r="C8" s="176" t="s">
        <v>190</v>
      </c>
    </row>
    <row r="9" customFormat="false" ht="15" hidden="false" customHeight="true" outlineLevel="0" collapsed="false">
      <c r="B9" s="170" t="s">
        <v>191</v>
      </c>
      <c r="C9" s="177" t="n">
        <v>0.8708</v>
      </c>
    </row>
    <row r="10" customFormat="false" ht="15" hidden="false" customHeight="true" outlineLevel="0" collapsed="false">
      <c r="B10" s="170" t="s">
        <v>192</v>
      </c>
      <c r="C10" s="177" t="n">
        <v>1.17</v>
      </c>
    </row>
    <row r="11" customFormat="false" ht="13.5" hidden="false" customHeight="true" outlineLevel="0" collapsed="false">
      <c r="B11" s="173"/>
      <c r="C11" s="173"/>
    </row>
    <row r="12" customFormat="false" ht="15" hidden="false" customHeight="true" outlineLevel="0" collapsed="false">
      <c r="B12" s="178" t="s">
        <v>193</v>
      </c>
      <c r="C12" s="179"/>
    </row>
    <row r="13" customFormat="false" ht="15" hidden="false" customHeight="true" outlineLevel="0" collapsed="false">
      <c r="B13" s="170" t="s">
        <v>194</v>
      </c>
      <c r="C13" s="180" t="n">
        <f aca="false">C6*(1+C9)</f>
        <v>105.2325</v>
      </c>
      <c r="D13" s="181"/>
      <c r="F13" s="182"/>
    </row>
    <row r="14" customFormat="false" ht="15" hidden="false" customHeight="true" outlineLevel="0" collapsed="false">
      <c r="B14" s="170" t="s">
        <v>195</v>
      </c>
      <c r="C14" s="180" t="n">
        <f aca="false">C6*(1+C10)</f>
        <v>122.0625</v>
      </c>
      <c r="D14" s="181"/>
      <c r="F14" s="182"/>
    </row>
    <row r="16" customFormat="false" ht="32.25" hidden="false" customHeight="true" outlineLevel="0" collapsed="false">
      <c r="B16" s="183" t="s">
        <v>196</v>
      </c>
      <c r="C16" s="183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1AF4B6DB407844954F4A0779E09E62" ma:contentTypeVersion="14" ma:contentTypeDescription="Create a new document." ma:contentTypeScope="" ma:versionID="159453291e5f9f39d5cfcba322a595ea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19ce8221087b193d0e79abf8ef00bb86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FF1B597-77F3-4565-A66C-AC5473DED5DA}"/>
</file>

<file path=customXml/itemProps2.xml><?xml version="1.0" encoding="utf-8"?>
<ds:datastoreItem xmlns:ds="http://schemas.openxmlformats.org/officeDocument/2006/customXml" ds:itemID="{1D8FF4A1-CB9A-449A-8CD6-469B707A7E20}"/>
</file>

<file path=customXml/itemProps3.xml><?xml version="1.0" encoding="utf-8"?>
<ds:datastoreItem xmlns:ds="http://schemas.openxmlformats.org/officeDocument/2006/customXml" ds:itemID="{8AF2C558-CC17-4B14-BE6D-724EC929AE27}"/>
</file>

<file path=customXml/itemProps4.xml><?xml version="1.0" encoding="utf-8"?>
<ds:datastoreItem xmlns:ds="http://schemas.openxmlformats.org/officeDocument/2006/customXml" ds:itemID="{65A1A08E-C9DB-4DC5-8046-123A98B30122}"/>
</file>

<file path=customXml/itemProps5.xml><?xml version="1.0" encoding="utf-8"?>
<ds:datastoreItem xmlns:ds="http://schemas.openxmlformats.org/officeDocument/2006/customXml" ds:itemID="{B4B0C6EE-4478-4379-AFC5-3C657784DD55}"/>
</file>

<file path=customXml/itemProps6.xml><?xml version="1.0" encoding="utf-8"?>
<ds:datastoreItem xmlns:ds="http://schemas.openxmlformats.org/officeDocument/2006/customXml" ds:itemID="{EA5D139B-48E9-47C6-B892-5D190308710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43</cp:revision>
  <dcterms:created xsi:type="dcterms:W3CDTF">2022-02-01T12:05:24Z</dcterms:created>
  <dcterms:modified xsi:type="dcterms:W3CDTF">2023-12-12T11:05:22Z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